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cuments/99 Newsletters/98 Unread but potentially useful/"/>
    </mc:Choice>
  </mc:AlternateContent>
  <xr:revisionPtr revIDLastSave="0" documentId="13_ncr:1_{61D50CA5-A410-5047-936A-10E3558C00F0}" xr6:coauthVersionLast="47" xr6:coauthVersionMax="47" xr10:uidLastSave="{00000000-0000-0000-0000-000000000000}"/>
  <bookViews>
    <workbookView xWindow="0" yWindow="500" windowWidth="25600" windowHeight="14020" activeTab="2" xr2:uid="{C23CD85C-D6D6-4CAA-A35D-F947956AF623}"/>
  </bookViews>
  <sheets>
    <sheet name="Solar DCF" sheetId="12" r:id="rId1"/>
    <sheet name="Unlevered Answer Key" sheetId="11" r:id="rId2"/>
    <sheet name="Full Answer Key" sheetId="1" r:id="rId3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82" i="11"/>
  <c r="D95" i="12"/>
  <c r="D94" i="12" s="1"/>
  <c r="D96" i="12" s="1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T88" i="12"/>
  <c r="T91" i="12" s="1"/>
  <c r="S88" i="12"/>
  <c r="R88" i="12"/>
  <c r="Q88" i="12"/>
  <c r="P88" i="12"/>
  <c r="P91" i="12" s="1"/>
  <c r="O88" i="12"/>
  <c r="N88" i="12"/>
  <c r="M88" i="12"/>
  <c r="L88" i="12"/>
  <c r="L91" i="12" s="1"/>
  <c r="K88" i="12"/>
  <c r="J88" i="12"/>
  <c r="I88" i="12"/>
  <c r="H88" i="12"/>
  <c r="H91" i="12" s="1"/>
  <c r="G88" i="12"/>
  <c r="F88" i="12"/>
  <c r="D82" i="12"/>
  <c r="T6" i="12" s="1"/>
  <c r="D81" i="12"/>
  <c r="E79" i="12"/>
  <c r="E78" i="12"/>
  <c r="E77" i="12"/>
  <c r="E76" i="12"/>
  <c r="E75" i="12"/>
  <c r="E74" i="12"/>
  <c r="E73" i="12"/>
  <c r="E72" i="12"/>
  <c r="E68" i="12"/>
  <c r="E67" i="12"/>
  <c r="E66" i="12"/>
  <c r="E65" i="12"/>
  <c r="E62" i="12"/>
  <c r="E61" i="12"/>
  <c r="C57" i="12"/>
  <c r="D54" i="12"/>
  <c r="N6" i="12" s="1"/>
  <c r="D53" i="12"/>
  <c r="N5" i="12" s="1"/>
  <c r="F30" i="12"/>
  <c r="F57" i="12" s="1"/>
  <c r="G26" i="12"/>
  <c r="H26" i="12" s="1"/>
  <c r="H30" i="12" s="1"/>
  <c r="H57" i="12" s="1"/>
  <c r="D18" i="12"/>
  <c r="E17" i="12"/>
  <c r="E16" i="12"/>
  <c r="E15" i="12"/>
  <c r="E14" i="12"/>
  <c r="T5" i="12"/>
  <c r="D95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T89" i="11"/>
  <c r="T91" i="11" s="1"/>
  <c r="T88" i="11"/>
  <c r="D81" i="11"/>
  <c r="T5" i="11" s="1"/>
  <c r="E79" i="11"/>
  <c r="E78" i="11"/>
  <c r="E77" i="11"/>
  <c r="E76" i="11"/>
  <c r="E75" i="11"/>
  <c r="E74" i="11"/>
  <c r="E73" i="11"/>
  <c r="E72" i="11"/>
  <c r="E68" i="11"/>
  <c r="E67" i="11"/>
  <c r="E66" i="11"/>
  <c r="E65" i="11"/>
  <c r="E62" i="11"/>
  <c r="E61" i="11"/>
  <c r="C57" i="11"/>
  <c r="F30" i="11"/>
  <c r="F57" i="11" s="1"/>
  <c r="G26" i="11"/>
  <c r="G30" i="11" s="1"/>
  <c r="G31" i="11" s="1"/>
  <c r="D18" i="11"/>
  <c r="E17" i="11"/>
  <c r="E16" i="11"/>
  <c r="E15" i="11"/>
  <c r="E14" i="11"/>
  <c r="T6" i="11"/>
  <c r="E18" i="12" l="1"/>
  <c r="J5" i="12" s="1"/>
  <c r="J6" i="12" s="1"/>
  <c r="J7" i="12" s="1"/>
  <c r="G30" i="12"/>
  <c r="G57" i="12" s="1"/>
  <c r="I91" i="12"/>
  <c r="M91" i="12"/>
  <c r="Q91" i="12"/>
  <c r="G91" i="12"/>
  <c r="K91" i="12"/>
  <c r="O91" i="12"/>
  <c r="S91" i="12"/>
  <c r="F91" i="12"/>
  <c r="J91" i="12"/>
  <c r="N91" i="12"/>
  <c r="R91" i="12"/>
  <c r="I26" i="12"/>
  <c r="G37" i="11"/>
  <c r="G33" i="11"/>
  <c r="G38" i="11"/>
  <c r="H26" i="11"/>
  <c r="G57" i="11"/>
  <c r="E18" i="11"/>
  <c r="J5" i="11" s="1"/>
  <c r="F47" i="11" l="1"/>
  <c r="D94" i="11" s="1"/>
  <c r="D96" i="11" s="1"/>
  <c r="J26" i="12"/>
  <c r="I30" i="12"/>
  <c r="I57" i="12" s="1"/>
  <c r="E47" i="11"/>
  <c r="J6" i="11"/>
  <c r="F48" i="11" s="1"/>
  <c r="E48" i="11" s="1"/>
  <c r="J7" i="11"/>
  <c r="G36" i="11"/>
  <c r="I26" i="11"/>
  <c r="H30" i="11"/>
  <c r="F89" i="11"/>
  <c r="K26" i="12" l="1"/>
  <c r="J30" i="12"/>
  <c r="J57" i="12" s="1"/>
  <c r="J26" i="11"/>
  <c r="I30" i="11"/>
  <c r="F88" i="11"/>
  <c r="F91" i="11" s="1"/>
  <c r="G39" i="11"/>
  <c r="F51" i="11"/>
  <c r="H31" i="11"/>
  <c r="H57" i="11"/>
  <c r="Q43" i="11"/>
  <c r="M43" i="11"/>
  <c r="I43" i="11"/>
  <c r="T43" i="11"/>
  <c r="P43" i="11"/>
  <c r="L43" i="11"/>
  <c r="H43" i="11"/>
  <c r="N43" i="11"/>
  <c r="R43" i="11"/>
  <c r="S43" i="11"/>
  <c r="K43" i="11"/>
  <c r="J43" i="11"/>
  <c r="O43" i="11"/>
  <c r="G43" i="11"/>
  <c r="F30" i="1"/>
  <c r="G26" i="1"/>
  <c r="G30" i="1" s="1"/>
  <c r="K30" i="12" l="1"/>
  <c r="K57" i="12" s="1"/>
  <c r="L26" i="12"/>
  <c r="H37" i="11"/>
  <c r="H38" i="11"/>
  <c r="H33" i="11"/>
  <c r="G44" i="11"/>
  <c r="E43" i="11"/>
  <c r="I31" i="11"/>
  <c r="I57" i="11"/>
  <c r="G49" i="11"/>
  <c r="G40" i="11"/>
  <c r="J30" i="11"/>
  <c r="K26" i="11"/>
  <c r="E14" i="1"/>
  <c r="E15" i="1"/>
  <c r="E16" i="1"/>
  <c r="E17" i="1"/>
  <c r="D18" i="1"/>
  <c r="L30" i="12" l="1"/>
  <c r="L57" i="12" s="1"/>
  <c r="M26" i="12"/>
  <c r="G89" i="11"/>
  <c r="K30" i="11"/>
  <c r="L26" i="11"/>
  <c r="I33" i="11"/>
  <c r="H36" i="11"/>
  <c r="J57" i="11"/>
  <c r="J31" i="11"/>
  <c r="I38" i="11"/>
  <c r="I37" i="11"/>
  <c r="G50" i="11"/>
  <c r="E18" i="1"/>
  <c r="N26" i="12" l="1"/>
  <c r="M30" i="12"/>
  <c r="M57" i="12" s="1"/>
  <c r="J38" i="11"/>
  <c r="J37" i="11"/>
  <c r="J33" i="11"/>
  <c r="I36" i="11"/>
  <c r="M26" i="11"/>
  <c r="L30" i="11"/>
  <c r="G88" i="11"/>
  <c r="G91" i="11" s="1"/>
  <c r="H39" i="11"/>
  <c r="H89" i="11"/>
  <c r="K57" i="11"/>
  <c r="K31" i="11"/>
  <c r="G51" i="11"/>
  <c r="F47" i="1"/>
  <c r="J5" i="1"/>
  <c r="C57" i="1"/>
  <c r="F57" i="1"/>
  <c r="H26" i="1"/>
  <c r="O26" i="12" l="1"/>
  <c r="N30" i="12"/>
  <c r="N57" i="12" s="1"/>
  <c r="J36" i="11"/>
  <c r="K33" i="11"/>
  <c r="L31" i="11"/>
  <c r="L57" i="11"/>
  <c r="I89" i="11"/>
  <c r="K37" i="11"/>
  <c r="J89" i="11" s="1"/>
  <c r="K38" i="11"/>
  <c r="N26" i="11"/>
  <c r="M30" i="11"/>
  <c r="H40" i="11"/>
  <c r="H49" i="11"/>
  <c r="H44" i="11"/>
  <c r="H88" i="11"/>
  <c r="H91" i="11" s="1"/>
  <c r="I39" i="11"/>
  <c r="E47" i="1"/>
  <c r="F72" i="1"/>
  <c r="I26" i="1"/>
  <c r="H30" i="1"/>
  <c r="G31" i="1"/>
  <c r="G37" i="1" s="1"/>
  <c r="G58" i="1"/>
  <c r="G73" i="1"/>
  <c r="G72" i="1"/>
  <c r="G57" i="1"/>
  <c r="O30" i="12" l="1"/>
  <c r="O57" i="12" s="1"/>
  <c r="P26" i="12"/>
  <c r="H50" i="11"/>
  <c r="I49" i="11"/>
  <c r="I40" i="11"/>
  <c r="I44" i="11"/>
  <c r="I50" i="11" s="1"/>
  <c r="N30" i="11"/>
  <c r="O26" i="11"/>
  <c r="L37" i="11"/>
  <c r="L38" i="11"/>
  <c r="K36" i="11"/>
  <c r="L33" i="11"/>
  <c r="M31" i="11"/>
  <c r="M57" i="11"/>
  <c r="J39" i="11"/>
  <c r="I88" i="11"/>
  <c r="I91" i="11" s="1"/>
  <c r="G33" i="1"/>
  <c r="J26" i="1"/>
  <c r="I30" i="1"/>
  <c r="H31" i="1"/>
  <c r="H58" i="1"/>
  <c r="H73" i="1"/>
  <c r="H72" i="1"/>
  <c r="G38" i="1"/>
  <c r="H57" i="1"/>
  <c r="J6" i="1"/>
  <c r="F48" i="1" s="1"/>
  <c r="F51" i="1" s="1"/>
  <c r="P30" i="12" l="1"/>
  <c r="P57" i="12" s="1"/>
  <c r="Q26" i="12"/>
  <c r="M33" i="11"/>
  <c r="L36" i="11"/>
  <c r="M38" i="11"/>
  <c r="M37" i="11"/>
  <c r="J88" i="11"/>
  <c r="J91" i="11" s="1"/>
  <c r="K39" i="11"/>
  <c r="N57" i="11"/>
  <c r="N31" i="11"/>
  <c r="O30" i="11"/>
  <c r="P26" i="11"/>
  <c r="J49" i="11"/>
  <c r="J40" i="11"/>
  <c r="J44" i="11"/>
  <c r="J50" i="11" s="1"/>
  <c r="I51" i="11"/>
  <c r="K89" i="11"/>
  <c r="H51" i="11"/>
  <c r="F88" i="1"/>
  <c r="F73" i="1"/>
  <c r="E48" i="1"/>
  <c r="H38" i="1"/>
  <c r="H37" i="1"/>
  <c r="H33" i="1"/>
  <c r="H36" i="1" s="1"/>
  <c r="G88" i="1" s="1"/>
  <c r="F89" i="1"/>
  <c r="K26" i="1"/>
  <c r="J30" i="1"/>
  <c r="I31" i="1"/>
  <c r="I58" i="1"/>
  <c r="G39" i="1"/>
  <c r="I73" i="1"/>
  <c r="I72" i="1"/>
  <c r="J7" i="1"/>
  <c r="I57" i="1"/>
  <c r="R26" i="12" l="1"/>
  <c r="Q30" i="12"/>
  <c r="Q57" i="12" s="1"/>
  <c r="Q26" i="11"/>
  <c r="P30" i="11"/>
  <c r="O57" i="11"/>
  <c r="O31" i="11"/>
  <c r="K49" i="11"/>
  <c r="K40" i="11"/>
  <c r="K44" i="11"/>
  <c r="N37" i="11"/>
  <c r="M89" i="11" s="1"/>
  <c r="N38" i="11"/>
  <c r="K88" i="11"/>
  <c r="K91" i="11" s="1"/>
  <c r="L39" i="11"/>
  <c r="J51" i="11"/>
  <c r="L89" i="11"/>
  <c r="N33" i="11"/>
  <c r="M36" i="11"/>
  <c r="G61" i="1"/>
  <c r="G62" i="1" s="1"/>
  <c r="K43" i="1"/>
  <c r="O43" i="1"/>
  <c r="S43" i="1"/>
  <c r="G43" i="1"/>
  <c r="H43" i="1"/>
  <c r="L43" i="1"/>
  <c r="P43" i="1"/>
  <c r="T43" i="1"/>
  <c r="I43" i="1"/>
  <c r="M43" i="1"/>
  <c r="Q43" i="1"/>
  <c r="J43" i="1"/>
  <c r="N43" i="1"/>
  <c r="R43" i="1"/>
  <c r="I38" i="1"/>
  <c r="I37" i="1"/>
  <c r="I33" i="1"/>
  <c r="G89" i="1"/>
  <c r="L26" i="1"/>
  <c r="K30" i="1"/>
  <c r="J58" i="1"/>
  <c r="G40" i="1"/>
  <c r="G49" i="1"/>
  <c r="J72" i="1"/>
  <c r="J31" i="1"/>
  <c r="J73" i="1"/>
  <c r="H39" i="1"/>
  <c r="J57" i="1"/>
  <c r="S26" i="12" l="1"/>
  <c r="R30" i="12"/>
  <c r="R57" i="12" s="1"/>
  <c r="N36" i="11"/>
  <c r="O33" i="11"/>
  <c r="O37" i="11"/>
  <c r="O38" i="11"/>
  <c r="L40" i="11"/>
  <c r="L49" i="11"/>
  <c r="L44" i="11"/>
  <c r="L50" i="11" s="1"/>
  <c r="K50" i="11"/>
  <c r="P31" i="11"/>
  <c r="P57" i="11"/>
  <c r="L88" i="11"/>
  <c r="L91" i="11" s="1"/>
  <c r="M39" i="11"/>
  <c r="K51" i="11"/>
  <c r="R26" i="11"/>
  <c r="Q30" i="11"/>
  <c r="G75" i="1"/>
  <c r="E43" i="1"/>
  <c r="G44" i="1"/>
  <c r="I36" i="1"/>
  <c r="H61" i="1"/>
  <c r="H62" i="1" s="1"/>
  <c r="H44" i="1"/>
  <c r="J38" i="1"/>
  <c r="J37" i="1"/>
  <c r="J33" i="1"/>
  <c r="J36" i="1" s="1"/>
  <c r="I88" i="1" s="1"/>
  <c r="H89" i="1"/>
  <c r="M26" i="1"/>
  <c r="L30" i="1"/>
  <c r="K58" i="1"/>
  <c r="K72" i="1"/>
  <c r="K31" i="1"/>
  <c r="K73" i="1"/>
  <c r="H40" i="1"/>
  <c r="H49" i="1"/>
  <c r="I39" i="1"/>
  <c r="K57" i="1"/>
  <c r="N89" i="11" l="1"/>
  <c r="T26" i="12"/>
  <c r="T30" i="12" s="1"/>
  <c r="T57" i="12" s="1"/>
  <c r="S30" i="12"/>
  <c r="S57" i="12" s="1"/>
  <c r="R30" i="11"/>
  <c r="S26" i="11"/>
  <c r="P37" i="11"/>
  <c r="P38" i="11"/>
  <c r="O36" i="11"/>
  <c r="P33" i="11"/>
  <c r="M49" i="11"/>
  <c r="M40" i="11"/>
  <c r="M44" i="11"/>
  <c r="N39" i="11"/>
  <c r="M88" i="11"/>
  <c r="M91" i="11" s="1"/>
  <c r="Q31" i="11"/>
  <c r="Q57" i="11"/>
  <c r="L51" i="11"/>
  <c r="H75" i="1"/>
  <c r="H88" i="1"/>
  <c r="G50" i="1"/>
  <c r="G51" i="1" s="1"/>
  <c r="I61" i="1"/>
  <c r="I75" i="1" s="1"/>
  <c r="I44" i="1"/>
  <c r="K38" i="1"/>
  <c r="K37" i="1"/>
  <c r="K33" i="1"/>
  <c r="I89" i="1"/>
  <c r="N26" i="1"/>
  <c r="M30" i="1"/>
  <c r="L58" i="1"/>
  <c r="H50" i="1"/>
  <c r="H77" i="1" s="1"/>
  <c r="L72" i="1"/>
  <c r="L31" i="1"/>
  <c r="L73" i="1"/>
  <c r="I40" i="1"/>
  <c r="I49" i="1"/>
  <c r="J39" i="1"/>
  <c r="L57" i="1"/>
  <c r="N49" i="11" l="1"/>
  <c r="N40" i="11"/>
  <c r="N44" i="11"/>
  <c r="N50" i="11" s="1"/>
  <c r="O89" i="11"/>
  <c r="Q33" i="11"/>
  <c r="P36" i="11"/>
  <c r="S30" i="11"/>
  <c r="T26" i="11"/>
  <c r="T30" i="11" s="1"/>
  <c r="Q38" i="11"/>
  <c r="Q37" i="11"/>
  <c r="P89" i="11" s="1"/>
  <c r="M50" i="11"/>
  <c r="M51" i="11" s="1"/>
  <c r="N88" i="11"/>
  <c r="N91" i="11" s="1"/>
  <c r="O39" i="11"/>
  <c r="R57" i="11"/>
  <c r="R31" i="11"/>
  <c r="H51" i="1"/>
  <c r="I62" i="1"/>
  <c r="G77" i="1"/>
  <c r="J61" i="1"/>
  <c r="J62" i="1" s="1"/>
  <c r="J44" i="1"/>
  <c r="K36" i="1"/>
  <c r="L38" i="1"/>
  <c r="L37" i="1"/>
  <c r="L33" i="1"/>
  <c r="L36" i="1" s="1"/>
  <c r="K88" i="1" s="1"/>
  <c r="J89" i="1"/>
  <c r="O26" i="1"/>
  <c r="N30" i="1"/>
  <c r="M58" i="1"/>
  <c r="I50" i="1"/>
  <c r="I77" i="1" s="1"/>
  <c r="M72" i="1"/>
  <c r="M31" i="1"/>
  <c r="M73" i="1"/>
  <c r="K39" i="1"/>
  <c r="K44" i="1" s="1"/>
  <c r="J40" i="1"/>
  <c r="J49" i="1"/>
  <c r="M57" i="1"/>
  <c r="R38" i="11" l="1"/>
  <c r="R37" i="11"/>
  <c r="T31" i="11"/>
  <c r="T57" i="11"/>
  <c r="N51" i="11"/>
  <c r="S31" i="11"/>
  <c r="S57" i="11"/>
  <c r="O49" i="11"/>
  <c r="O40" i="11"/>
  <c r="O44" i="11"/>
  <c r="O50" i="11" s="1"/>
  <c r="O88" i="11"/>
  <c r="O91" i="11" s="1"/>
  <c r="P39" i="11"/>
  <c r="R33" i="11"/>
  <c r="Q36" i="11"/>
  <c r="I51" i="1"/>
  <c r="J75" i="1"/>
  <c r="J88" i="1"/>
  <c r="M38" i="1"/>
  <c r="M37" i="1"/>
  <c r="M33" i="1"/>
  <c r="M36" i="1" s="1"/>
  <c r="L88" i="1" s="1"/>
  <c r="K89" i="1"/>
  <c r="P26" i="1"/>
  <c r="O30" i="1"/>
  <c r="N58" i="1"/>
  <c r="J50" i="1"/>
  <c r="J77" i="1" s="1"/>
  <c r="N72" i="1"/>
  <c r="N31" i="1"/>
  <c r="K40" i="1"/>
  <c r="K61" i="1"/>
  <c r="N73" i="1"/>
  <c r="K49" i="1"/>
  <c r="L39" i="1"/>
  <c r="L44" i="1" s="1"/>
  <c r="K50" i="1"/>
  <c r="N57" i="1"/>
  <c r="P88" i="11" l="1"/>
  <c r="P91" i="11" s="1"/>
  <c r="Q39" i="11"/>
  <c r="S37" i="11"/>
  <c r="S38" i="11"/>
  <c r="R36" i="11"/>
  <c r="S33" i="11"/>
  <c r="T37" i="11"/>
  <c r="T38" i="11"/>
  <c r="E38" i="11" s="1"/>
  <c r="P40" i="11"/>
  <c r="P49" i="11"/>
  <c r="P51" i="11" s="1"/>
  <c r="P44" i="11"/>
  <c r="P50" i="11" s="1"/>
  <c r="O51" i="11"/>
  <c r="Q89" i="11"/>
  <c r="K51" i="1"/>
  <c r="J51" i="1"/>
  <c r="N38" i="1"/>
  <c r="N37" i="1"/>
  <c r="N33" i="1"/>
  <c r="N36" i="1" s="1"/>
  <c r="M88" i="1" s="1"/>
  <c r="L89" i="1"/>
  <c r="Q26" i="1"/>
  <c r="P30" i="1"/>
  <c r="O58" i="1"/>
  <c r="K75" i="1"/>
  <c r="K62" i="1"/>
  <c r="O72" i="1"/>
  <c r="O31" i="1"/>
  <c r="L61" i="1"/>
  <c r="O73" i="1"/>
  <c r="L40" i="1"/>
  <c r="L49" i="1"/>
  <c r="M39" i="1"/>
  <c r="O57" i="1"/>
  <c r="R89" i="11" l="1"/>
  <c r="S89" i="11"/>
  <c r="E37" i="11"/>
  <c r="S36" i="11"/>
  <c r="T33" i="11"/>
  <c r="Q40" i="11"/>
  <c r="Q49" i="11"/>
  <c r="Q44" i="11"/>
  <c r="Q50" i="11" s="1"/>
  <c r="R39" i="11"/>
  <c r="Q88" i="11"/>
  <c r="Q91" i="11" s="1"/>
  <c r="M61" i="1"/>
  <c r="M75" i="1" s="1"/>
  <c r="M44" i="1"/>
  <c r="O38" i="1"/>
  <c r="O37" i="1"/>
  <c r="O33" i="1"/>
  <c r="O36" i="1" s="1"/>
  <c r="N88" i="1" s="1"/>
  <c r="M89" i="1"/>
  <c r="R26" i="1"/>
  <c r="Q30" i="1"/>
  <c r="P58" i="1"/>
  <c r="L75" i="1"/>
  <c r="L62" i="1"/>
  <c r="L50" i="1"/>
  <c r="L51" i="1" s="1"/>
  <c r="P72" i="1"/>
  <c r="P31" i="1"/>
  <c r="K77" i="1"/>
  <c r="P73" i="1"/>
  <c r="M40" i="1"/>
  <c r="M49" i="1"/>
  <c r="N39" i="1"/>
  <c r="P57" i="1"/>
  <c r="R49" i="11" l="1"/>
  <c r="R40" i="11"/>
  <c r="R44" i="11"/>
  <c r="R50" i="11" s="1"/>
  <c r="T36" i="11"/>
  <c r="E33" i="11"/>
  <c r="R88" i="11"/>
  <c r="R91" i="11" s="1"/>
  <c r="S39" i="11"/>
  <c r="Q51" i="11"/>
  <c r="L77" i="1"/>
  <c r="M62" i="1"/>
  <c r="N61" i="1"/>
  <c r="N44" i="1"/>
  <c r="P38" i="1"/>
  <c r="P37" i="1"/>
  <c r="P33" i="1"/>
  <c r="P36" i="1" s="1"/>
  <c r="O88" i="1" s="1"/>
  <c r="N89" i="1"/>
  <c r="S26" i="1"/>
  <c r="R30" i="1"/>
  <c r="Q31" i="1"/>
  <c r="Q58" i="1"/>
  <c r="M50" i="1"/>
  <c r="M77" i="1" s="1"/>
  <c r="Q57" i="1"/>
  <c r="Q72" i="1"/>
  <c r="Q73" i="1"/>
  <c r="N40" i="1"/>
  <c r="N49" i="1"/>
  <c r="O39" i="1"/>
  <c r="S88" i="11" l="1"/>
  <c r="S91" i="11" s="1"/>
  <c r="T39" i="11"/>
  <c r="E36" i="11"/>
  <c r="S49" i="11"/>
  <c r="S51" i="11" s="1"/>
  <c r="S40" i="11"/>
  <c r="S44" i="11"/>
  <c r="S50" i="11" s="1"/>
  <c r="R51" i="11"/>
  <c r="M51" i="1"/>
  <c r="N62" i="1"/>
  <c r="N75" i="1"/>
  <c r="O61" i="1"/>
  <c r="O62" i="1" s="1"/>
  <c r="O44" i="1"/>
  <c r="Q38" i="1"/>
  <c r="Q37" i="1"/>
  <c r="Q33" i="1"/>
  <c r="O89" i="1"/>
  <c r="T26" i="1"/>
  <c r="S30" i="1"/>
  <c r="R58" i="1"/>
  <c r="N50" i="1"/>
  <c r="N51" i="1" s="1"/>
  <c r="R72" i="1"/>
  <c r="R31" i="1"/>
  <c r="R57" i="1"/>
  <c r="P39" i="1"/>
  <c r="R73" i="1"/>
  <c r="O40" i="1"/>
  <c r="O49" i="1"/>
  <c r="T40" i="11" l="1"/>
  <c r="T49" i="11"/>
  <c r="T44" i="11"/>
  <c r="E39" i="11"/>
  <c r="O75" i="1"/>
  <c r="N77" i="1"/>
  <c r="P61" i="1"/>
  <c r="P75" i="1" s="1"/>
  <c r="P44" i="1"/>
  <c r="P50" i="1" s="1"/>
  <c r="R38" i="1"/>
  <c r="R37" i="1"/>
  <c r="Q36" i="1"/>
  <c r="P88" i="1" s="1"/>
  <c r="R33" i="1"/>
  <c r="P89" i="1"/>
  <c r="T30" i="1"/>
  <c r="S58" i="1"/>
  <c r="O50" i="1"/>
  <c r="O77" i="1" s="1"/>
  <c r="S72" i="1"/>
  <c r="S31" i="1"/>
  <c r="P49" i="1"/>
  <c r="P40" i="1"/>
  <c r="S57" i="1"/>
  <c r="S73" i="1"/>
  <c r="T50" i="11" l="1"/>
  <c r="E50" i="11" s="1"/>
  <c r="E44" i="11"/>
  <c r="E49" i="11"/>
  <c r="P51" i="1"/>
  <c r="O51" i="1"/>
  <c r="Q39" i="1"/>
  <c r="Q44" i="1" s="1"/>
  <c r="P62" i="1"/>
  <c r="Q61" i="1"/>
  <c r="R36" i="1"/>
  <c r="Q88" i="1" s="1"/>
  <c r="S38" i="1"/>
  <c r="S37" i="1"/>
  <c r="S33" i="1"/>
  <c r="Q89" i="1"/>
  <c r="T58" i="1"/>
  <c r="T31" i="1"/>
  <c r="T72" i="1"/>
  <c r="T57" i="1"/>
  <c r="T73" i="1"/>
  <c r="E73" i="1" s="1"/>
  <c r="T51" i="11" l="1"/>
  <c r="D54" i="11" s="1"/>
  <c r="Q40" i="1"/>
  <c r="E72" i="1"/>
  <c r="Q49" i="1"/>
  <c r="R39" i="1"/>
  <c r="R49" i="1" s="1"/>
  <c r="Q62" i="1"/>
  <c r="Q75" i="1"/>
  <c r="T38" i="1"/>
  <c r="E38" i="1" s="1"/>
  <c r="T37" i="1"/>
  <c r="E37" i="1" s="1"/>
  <c r="S36" i="1"/>
  <c r="R88" i="1" s="1"/>
  <c r="T33" i="1"/>
  <c r="R89" i="1"/>
  <c r="Q50" i="1"/>
  <c r="Q77" i="1" s="1"/>
  <c r="P77" i="1"/>
  <c r="R44" i="1" l="1"/>
  <c r="R61" i="1"/>
  <c r="R75" i="1" s="1"/>
  <c r="R40" i="1"/>
  <c r="D53" i="11"/>
  <c r="N5" i="11" s="1"/>
  <c r="N6" i="11"/>
  <c r="E51" i="11"/>
  <c r="Q51" i="1"/>
  <c r="T36" i="1"/>
  <c r="E36" i="1" s="1"/>
  <c r="E33" i="1"/>
  <c r="R62" i="1"/>
  <c r="S39" i="1"/>
  <c r="S40" i="1" s="1"/>
  <c r="T88" i="1"/>
  <c r="S88" i="1"/>
  <c r="S89" i="1"/>
  <c r="R50" i="1"/>
  <c r="R51" i="1" s="1"/>
  <c r="S61" i="1" l="1"/>
  <c r="S44" i="1"/>
  <c r="S50" i="1" s="1"/>
  <c r="S77" i="1" s="1"/>
  <c r="S49" i="1"/>
  <c r="T39" i="1"/>
  <c r="E39" i="1" s="1"/>
  <c r="T89" i="1"/>
  <c r="R77" i="1"/>
  <c r="S51" i="1" l="1"/>
  <c r="T61" i="1"/>
  <c r="T44" i="1"/>
  <c r="S75" i="1"/>
  <c r="S62" i="1"/>
  <c r="T49" i="1"/>
  <c r="T40" i="1"/>
  <c r="E49" i="1" l="1"/>
  <c r="E61" i="1"/>
  <c r="T50" i="1"/>
  <c r="T51" i="1" s="1"/>
  <c r="D54" i="1" s="1"/>
  <c r="E44" i="1"/>
  <c r="T75" i="1"/>
  <c r="T62" i="1"/>
  <c r="T77" i="1"/>
  <c r="E77" i="1" s="1"/>
  <c r="E75" i="1" l="1"/>
  <c r="D53" i="1"/>
  <c r="N5" i="1" s="1"/>
  <c r="E50" i="1"/>
  <c r="F63" i="1"/>
  <c r="F68" i="1" s="1"/>
  <c r="G65" i="1" s="1"/>
  <c r="G66" i="1" s="1"/>
  <c r="E62" i="1"/>
  <c r="F74" i="1" l="1"/>
  <c r="F79" i="1" s="1"/>
  <c r="E51" i="1"/>
  <c r="N6" i="1"/>
  <c r="D95" i="1" l="1"/>
  <c r="D94" i="1" s="1"/>
  <c r="D96" i="1" s="1"/>
  <c r="E74" i="1"/>
  <c r="G78" i="1"/>
  <c r="G67" i="1"/>
  <c r="G68" i="1" s="1"/>
  <c r="H65" i="1" s="1"/>
  <c r="H66" i="1" s="1"/>
  <c r="G76" i="1" l="1"/>
  <c r="G79" i="1" s="1"/>
  <c r="G69" i="1"/>
  <c r="F90" i="1" l="1"/>
  <c r="F91" i="1" s="1"/>
  <c r="H78" i="1" l="1"/>
  <c r="H67" i="1"/>
  <c r="H68" i="1" s="1"/>
  <c r="I65" i="1" s="1"/>
  <c r="I66" i="1" s="1"/>
  <c r="H76" i="1" l="1"/>
  <c r="H79" i="1" s="1"/>
  <c r="H69" i="1"/>
  <c r="G90" i="1" l="1"/>
  <c r="G91" i="1" s="1"/>
  <c r="I78" i="1" l="1"/>
  <c r="I67" i="1"/>
  <c r="I68" i="1" s="1"/>
  <c r="J65" i="1" s="1"/>
  <c r="J66" i="1" s="1"/>
  <c r="I76" i="1" l="1"/>
  <c r="I79" i="1" s="1"/>
  <c r="I69" i="1"/>
  <c r="H90" i="1" l="1"/>
  <c r="H91" i="1" s="1"/>
  <c r="J78" i="1" l="1"/>
  <c r="J67" i="1"/>
  <c r="J68" i="1" s="1"/>
  <c r="K65" i="1" s="1"/>
  <c r="K66" i="1" s="1"/>
  <c r="J76" i="1" l="1"/>
  <c r="J79" i="1" s="1"/>
  <c r="J69" i="1"/>
  <c r="I90" i="1" l="1"/>
  <c r="I91" i="1" s="1"/>
  <c r="K67" i="1" l="1"/>
  <c r="K68" i="1" s="1"/>
  <c r="L65" i="1" s="1"/>
  <c r="L66" i="1" s="1"/>
  <c r="K78" i="1"/>
  <c r="K76" i="1" l="1"/>
  <c r="K79" i="1" s="1"/>
  <c r="K69" i="1"/>
  <c r="J90" i="1" l="1"/>
  <c r="J91" i="1" s="1"/>
  <c r="L78" i="1" l="1"/>
  <c r="L67" i="1"/>
  <c r="L68" i="1" s="1"/>
  <c r="M65" i="1" s="1"/>
  <c r="M66" i="1" s="1"/>
  <c r="L76" i="1" l="1"/>
  <c r="L79" i="1" s="1"/>
  <c r="L69" i="1"/>
  <c r="K90" i="1" l="1"/>
  <c r="K91" i="1" s="1"/>
  <c r="M78" i="1" l="1"/>
  <c r="M67" i="1"/>
  <c r="M68" i="1" s="1"/>
  <c r="N65" i="1" s="1"/>
  <c r="N66" i="1" s="1"/>
  <c r="M76" i="1" l="1"/>
  <c r="M79" i="1" s="1"/>
  <c r="M69" i="1"/>
  <c r="L90" i="1" l="1"/>
  <c r="L91" i="1" s="1"/>
  <c r="N67" i="1" l="1"/>
  <c r="N68" i="1" s="1"/>
  <c r="O65" i="1" s="1"/>
  <c r="O66" i="1" s="1"/>
  <c r="N78" i="1"/>
  <c r="N76" i="1" l="1"/>
  <c r="N79" i="1" s="1"/>
  <c r="N69" i="1"/>
  <c r="M90" i="1" l="1"/>
  <c r="M91" i="1" s="1"/>
  <c r="O67" i="1" l="1"/>
  <c r="O78" i="1"/>
  <c r="O69" i="1" l="1"/>
  <c r="O68" i="1"/>
  <c r="P65" i="1" s="1"/>
  <c r="P66" i="1" s="1"/>
  <c r="O76" i="1"/>
  <c r="O79" i="1" s="1"/>
  <c r="N90" i="1" l="1"/>
  <c r="N91" i="1" s="1"/>
  <c r="P67" i="1" l="1"/>
  <c r="P68" i="1" s="1"/>
  <c r="Q65" i="1" s="1"/>
  <c r="Q66" i="1" s="1"/>
  <c r="P78" i="1"/>
  <c r="P76" i="1" l="1"/>
  <c r="P79" i="1" s="1"/>
  <c r="P69" i="1"/>
  <c r="O90" i="1" l="1"/>
  <c r="O91" i="1" s="1"/>
  <c r="Q78" i="1" l="1"/>
  <c r="Q67" i="1"/>
  <c r="Q68" i="1" s="1"/>
  <c r="R65" i="1" s="1"/>
  <c r="R66" i="1" s="1"/>
  <c r="Q76" i="1" l="1"/>
  <c r="Q79" i="1" s="1"/>
  <c r="Q69" i="1"/>
  <c r="P90" i="1" l="1"/>
  <c r="P91" i="1" s="1"/>
  <c r="R67" i="1" l="1"/>
  <c r="R68" i="1" s="1"/>
  <c r="S65" i="1" s="1"/>
  <c r="S66" i="1" s="1"/>
  <c r="R78" i="1"/>
  <c r="R76" i="1" l="1"/>
  <c r="R79" i="1" s="1"/>
  <c r="R69" i="1"/>
  <c r="Q90" i="1" l="1"/>
  <c r="Q91" i="1" s="1"/>
  <c r="S78" i="1" l="1"/>
  <c r="S67" i="1"/>
  <c r="S68" i="1" s="1"/>
  <c r="T65" i="1" s="1"/>
  <c r="T66" i="1" s="1"/>
  <c r="S76" i="1" l="1"/>
  <c r="S79" i="1" s="1"/>
  <c r="S69" i="1"/>
  <c r="T90" i="1"/>
  <c r="T91" i="1" s="1"/>
  <c r="E65" i="1" l="1"/>
  <c r="R90" i="1"/>
  <c r="R91" i="1" s="1"/>
  <c r="E66" i="1" l="1"/>
  <c r="T67" i="1"/>
  <c r="T68" i="1" s="1"/>
  <c r="T78" i="1"/>
  <c r="E78" i="1" s="1"/>
  <c r="T76" i="1" l="1"/>
  <c r="T79" i="1" s="1"/>
  <c r="D82" i="1" s="1"/>
  <c r="E67" i="1"/>
  <c r="E68" i="1"/>
  <c r="T69" i="1"/>
  <c r="D81" i="1" l="1"/>
  <c r="E76" i="1"/>
  <c r="S90" i="1"/>
  <c r="S91" i="1" s="1"/>
  <c r="E79" i="1" l="1"/>
  <c r="T6" i="1"/>
  <c r="T5" i="1"/>
</calcChain>
</file>

<file path=xl/sharedStrings.xml><?xml version="1.0" encoding="utf-8"?>
<sst xmlns="http://schemas.openxmlformats.org/spreadsheetml/2006/main" count="294" uniqueCount="79">
  <si>
    <t>Operating Assumptions</t>
  </si>
  <si>
    <t>Annual Degradation</t>
  </si>
  <si>
    <t>PPA Price ($/MWh)</t>
  </si>
  <si>
    <t>Project Costs</t>
  </si>
  <si>
    <t>System Size (MWdc)</t>
  </si>
  <si>
    <t>Balance of Plant (BOP)</t>
  </si>
  <si>
    <t>Total</t>
  </si>
  <si>
    <t xml:space="preserve">Panels </t>
  </si>
  <si>
    <t>Development Costs</t>
  </si>
  <si>
    <t>GIA</t>
  </si>
  <si>
    <t>Total Costs</t>
  </si>
  <si>
    <t>%</t>
  </si>
  <si>
    <t xml:space="preserve">Eligible Basis </t>
  </si>
  <si>
    <t>ITC</t>
  </si>
  <si>
    <t>Year</t>
  </si>
  <si>
    <t>Renewable Energy Finance Modeling Workshop: Tax Efficient, Levered Solar Model</t>
  </si>
  <si>
    <t>$/w</t>
  </si>
  <si>
    <t>Production (MWh)</t>
  </si>
  <si>
    <t>Production (MWh/MWp)</t>
  </si>
  <si>
    <t>Total Revenue</t>
  </si>
  <si>
    <t>NOI</t>
  </si>
  <si>
    <t>ITC adjusted  Dep</t>
  </si>
  <si>
    <t>Income</t>
  </si>
  <si>
    <t>Tax Rate</t>
  </si>
  <si>
    <t>Tax Benefits (Expense)</t>
  </si>
  <si>
    <t>Unlevered IRR</t>
  </si>
  <si>
    <t>Margin</t>
  </si>
  <si>
    <t>MACRS</t>
  </si>
  <si>
    <t>MACRS Depreciation</t>
  </si>
  <si>
    <t>NPV</t>
  </si>
  <si>
    <t>Cash Available for Debt Service</t>
  </si>
  <si>
    <t>Debt Service</t>
  </si>
  <si>
    <t>Unlevered Analysis</t>
  </si>
  <si>
    <t>Beginning Balance</t>
  </si>
  <si>
    <t>Interest</t>
  </si>
  <si>
    <t>Ending Balance</t>
  </si>
  <si>
    <t>Interest Rate</t>
  </si>
  <si>
    <t>Coverage Ratio</t>
  </si>
  <si>
    <t>Interest Tax Shield</t>
  </si>
  <si>
    <t>Capital Contributions</t>
  </si>
  <si>
    <t>Levered IRR</t>
  </si>
  <si>
    <t>Levered Analysis</t>
  </si>
  <si>
    <t>Principal</t>
  </si>
  <si>
    <t>Operating Flag</t>
  </si>
  <si>
    <t>Operating Life (Years)</t>
  </si>
  <si>
    <t>Amortization Period (Yrs)</t>
  </si>
  <si>
    <t>Net Operating Income (NOI)</t>
  </si>
  <si>
    <t>Less: O&amp;M/Asset Mgmt</t>
  </si>
  <si>
    <t xml:space="preserve">Less: Site Lease </t>
  </si>
  <si>
    <t>After-Tax Returns</t>
  </si>
  <si>
    <t>NPV of Debt Service</t>
  </si>
  <si>
    <t>Input</t>
  </si>
  <si>
    <t>Unique Cell</t>
  </si>
  <si>
    <t>Used Cell</t>
  </si>
  <si>
    <t>Levered After-Tax Returns</t>
  </si>
  <si>
    <t>Debt Proceeds</t>
  </si>
  <si>
    <t>Debt</t>
  </si>
  <si>
    <t>Discount Rate</t>
  </si>
  <si>
    <t>Graph Inputs</t>
  </si>
  <si>
    <t>Expenses</t>
  </si>
  <si>
    <t>Pre-Tax Returns</t>
  </si>
  <si>
    <t>Revenue</t>
  </si>
  <si>
    <t>Sources of Capital</t>
  </si>
  <si>
    <t>Tax</t>
  </si>
  <si>
    <t>Returns</t>
  </si>
  <si>
    <t>Project Owner</t>
  </si>
  <si>
    <t>Project Owner Pre-Tax Returns</t>
  </si>
  <si>
    <t>Do not change</t>
  </si>
  <si>
    <t>Calculation</t>
  </si>
  <si>
    <t>Legend</t>
  </si>
  <si>
    <t>Debt Flag</t>
  </si>
  <si>
    <t>Unlevered After-Tax IRR</t>
  </si>
  <si>
    <t>Unlevered After-Tax NPV</t>
  </si>
  <si>
    <t>Levered After-Tax IRR</t>
  </si>
  <si>
    <t>Levered After-Tax NPV</t>
  </si>
  <si>
    <t>Model Outputs</t>
  </si>
  <si>
    <t>O&amp;M/Asset Mgmt ($/MW)</t>
  </si>
  <si>
    <t>Site Lease  ($/YR)</t>
  </si>
  <si>
    <t>DSCR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</si>
</sst>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0;;&quot;-&quot;"/>
    <numFmt numFmtId="167" formatCode="_(* #,##0.0_);_(* \(#,##0.0\);_(* &quot;-&quot;??_);_(@_)"/>
    <numFmt numFmtId="168" formatCode="&quot;$&quot;0.0&quot;MM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b/>
      <u/>
      <sz val="9"/>
      <color theme="2" tint="-0.499984740745262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bgColor theme="0" tint="-0.149967955565050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4" borderId="5" applyNumberFormat="0" applyAlignment="0" applyProtection="0"/>
    <xf numFmtId="0" fontId="9" fillId="8" borderId="6" applyNumberFormat="0" applyAlignment="0" applyProtection="0"/>
    <xf numFmtId="0" fontId="4" fillId="5" borderId="6" applyNumberFormat="0" applyAlignment="0" applyProtection="0"/>
    <xf numFmtId="0" fontId="9" fillId="6" borderId="6" applyNumberFormat="0" applyProtection="0">
      <alignment horizontal="center"/>
    </xf>
  </cellStyleXfs>
  <cellXfs count="142">
    <xf numFmtId="0" fontId="0" fillId="0" borderId="0" xfId="0"/>
    <xf numFmtId="0" fontId="3" fillId="0" borderId="0" xfId="0" applyFont="1"/>
    <xf numFmtId="0" fontId="0" fillId="0" borderId="2" xfId="0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164" fontId="0" fillId="0" borderId="0" xfId="1" applyNumberFormat="1" applyFont="1"/>
    <xf numFmtId="0" fontId="6" fillId="0" borderId="0" xfId="0" applyFont="1"/>
    <xf numFmtId="164" fontId="6" fillId="0" borderId="0" xfId="1" applyNumberFormat="1" applyFont="1"/>
    <xf numFmtId="164" fontId="0" fillId="0" borderId="2" xfId="0" applyNumberFormat="1" applyBorder="1"/>
    <xf numFmtId="14" fontId="0" fillId="0" borderId="0" xfId="0" applyNumberFormat="1"/>
    <xf numFmtId="0" fontId="0" fillId="3" borderId="3" xfId="0" applyFill="1" applyBorder="1"/>
    <xf numFmtId="0" fontId="0" fillId="2" borderId="0" xfId="0" applyFill="1"/>
    <xf numFmtId="164" fontId="0" fillId="0" borderId="0" xfId="0" applyNumberFormat="1"/>
    <xf numFmtId="9" fontId="6" fillId="0" borderId="0" xfId="3" applyFont="1" applyBorder="1"/>
    <xf numFmtId="9" fontId="0" fillId="0" borderId="0" xfId="0" applyNumberFormat="1"/>
    <xf numFmtId="10" fontId="0" fillId="0" borderId="0" xfId="0" applyNumberFormat="1"/>
    <xf numFmtId="6" fontId="0" fillId="0" borderId="4" xfId="0" applyNumberFormat="1" applyBorder="1"/>
    <xf numFmtId="9" fontId="7" fillId="0" borderId="0" xfId="0" applyNumberFormat="1" applyFont="1"/>
    <xf numFmtId="6" fontId="0" fillId="0" borderId="0" xfId="0" applyNumberFormat="1"/>
    <xf numFmtId="0" fontId="5" fillId="2" borderId="1" xfId="0" applyFont="1" applyFill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2" fillId="2" borderId="0" xfId="0" applyFont="1" applyFill="1" applyAlignment="1">
      <alignment horizontal="left"/>
    </xf>
    <xf numFmtId="0" fontId="1" fillId="0" borderId="0" xfId="0" applyFont="1"/>
    <xf numFmtId="9" fontId="1" fillId="0" borderId="0" xfId="0" applyNumberFormat="1" applyFont="1"/>
    <xf numFmtId="6" fontId="1" fillId="0" borderId="0" xfId="0" applyNumberFormat="1" applyFont="1"/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8" xfId="0" applyFill="1" applyBorder="1"/>
    <xf numFmtId="6" fontId="0" fillId="0" borderId="9" xfId="0" applyNumberFormat="1" applyBorder="1"/>
    <xf numFmtId="0" fontId="0" fillId="3" borderId="10" xfId="0" applyFill="1" applyBorder="1"/>
    <xf numFmtId="0" fontId="0" fillId="3" borderId="1" xfId="0" applyFill="1" applyBorder="1"/>
    <xf numFmtId="6" fontId="0" fillId="0" borderId="11" xfId="0" applyNumberFormat="1" applyBorder="1"/>
    <xf numFmtId="0" fontId="2" fillId="2" borderId="4" xfId="0" applyFont="1" applyFill="1" applyBorder="1"/>
    <xf numFmtId="0" fontId="1" fillId="3" borderId="8" xfId="0" applyFont="1" applyFill="1" applyBorder="1"/>
    <xf numFmtId="164" fontId="8" fillId="4" borderId="12" xfId="4" applyNumberFormat="1" applyBorder="1"/>
    <xf numFmtId="10" fontId="8" fillId="4" borderId="12" xfId="4" applyNumberFormat="1" applyBorder="1"/>
    <xf numFmtId="6" fontId="8" fillId="4" borderId="12" xfId="4" applyNumberFormat="1" applyBorder="1"/>
    <xf numFmtId="164" fontId="8" fillId="4" borderId="13" xfId="4" applyNumberFormat="1" applyBorder="1"/>
    <xf numFmtId="0" fontId="5" fillId="2" borderId="7" xfId="0" applyFont="1" applyFill="1" applyBorder="1"/>
    <xf numFmtId="8" fontId="8" fillId="4" borderId="5" xfId="4" applyNumberFormat="1"/>
    <xf numFmtId="6" fontId="4" fillId="0" borderId="9" xfId="2" applyNumberFormat="1" applyFont="1" applyBorder="1"/>
    <xf numFmtId="0" fontId="0" fillId="3" borderId="7" xfId="0" applyFill="1" applyBorder="1"/>
    <xf numFmtId="8" fontId="0" fillId="0" borderId="7" xfId="0" applyNumberFormat="1" applyBorder="1"/>
    <xf numFmtId="9" fontId="8" fillId="4" borderId="12" xfId="4" applyNumberFormat="1" applyBorder="1"/>
    <xf numFmtId="43" fontId="8" fillId="4" borderId="12" xfId="4" applyNumberFormat="1" applyBorder="1"/>
    <xf numFmtId="10" fontId="7" fillId="0" borderId="0" xfId="3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4" fontId="0" fillId="0" borderId="0" xfId="1" applyNumberFormat="1" applyFont="1" applyBorder="1"/>
    <xf numFmtId="0" fontId="0" fillId="0" borderId="0" xfId="0" applyAlignment="1">
      <alignment horizontal="left" indent="2"/>
    </xf>
    <xf numFmtId="9" fontId="6" fillId="0" borderId="0" xfId="3" applyFont="1" applyBorder="1" applyAlignment="1">
      <alignment horizontal="right"/>
    </xf>
    <xf numFmtId="0" fontId="10" fillId="0" borderId="0" xfId="0" applyFont="1"/>
    <xf numFmtId="164" fontId="9" fillId="6" borderId="6" xfId="7" applyNumberFormat="1">
      <alignment horizontal="center"/>
    </xf>
    <xf numFmtId="0" fontId="0" fillId="0" borderId="7" xfId="0" applyBorder="1"/>
    <xf numFmtId="167" fontId="0" fillId="0" borderId="0" xfId="0" applyNumberFormat="1"/>
    <xf numFmtId="10" fontId="8" fillId="4" borderId="15" xfId="4" applyNumberFormat="1" applyBorder="1"/>
    <xf numFmtId="0" fontId="2" fillId="2" borderId="2" xfId="0" applyFont="1" applyFill="1" applyBorder="1" applyAlignment="1">
      <alignment horizontal="center"/>
    </xf>
    <xf numFmtId="10" fontId="8" fillId="7" borderId="16" xfId="4" applyNumberFormat="1" applyFill="1" applyBorder="1" applyAlignment="1"/>
    <xf numFmtId="10" fontId="8" fillId="7" borderId="5" xfId="4" applyNumberFormat="1" applyFill="1" applyAlignment="1"/>
    <xf numFmtId="10" fontId="8" fillId="7" borderId="17" xfId="4" applyNumberFormat="1" applyFill="1" applyBorder="1" applyAlignment="1"/>
    <xf numFmtId="10" fontId="9" fillId="8" borderId="6" xfId="5" applyNumberFormat="1"/>
    <xf numFmtId="6" fontId="9" fillId="8" borderId="6" xfId="5" applyNumberFormat="1"/>
    <xf numFmtId="0" fontId="9" fillId="8" borderId="6" xfId="5"/>
    <xf numFmtId="0" fontId="1" fillId="3" borderId="7" xfId="0" applyFont="1" applyFill="1" applyBorder="1"/>
    <xf numFmtId="164" fontId="6" fillId="9" borderId="0" xfId="1" applyNumberFormat="1" applyFont="1" applyFill="1"/>
    <xf numFmtId="164" fontId="0" fillId="9" borderId="0" xfId="1" applyNumberFormat="1" applyFont="1" applyFill="1"/>
    <xf numFmtId="164" fontId="0" fillId="9" borderId="0" xfId="1" applyNumberFormat="1" applyFont="1" applyFill="1" applyBorder="1"/>
    <xf numFmtId="164" fontId="0" fillId="9" borderId="0" xfId="0" applyNumberFormat="1" applyFill="1"/>
    <xf numFmtId="164" fontId="0" fillId="9" borderId="1" xfId="0" applyNumberFormat="1" applyFill="1" applyBorder="1"/>
    <xf numFmtId="0" fontId="1" fillId="3" borderId="7" xfId="0" applyFont="1" applyFill="1" applyBorder="1" applyAlignment="1">
      <alignment horizontal="left"/>
    </xf>
    <xf numFmtId="164" fontId="1" fillId="3" borderId="7" xfId="1" applyNumberFormat="1" applyFont="1" applyFill="1" applyBorder="1"/>
    <xf numFmtId="0" fontId="8" fillId="4" borderId="18" xfId="4" applyBorder="1"/>
    <xf numFmtId="0" fontId="9" fillId="6" borderId="6" xfId="7">
      <alignment horizontal="center"/>
    </xf>
    <xf numFmtId="0" fontId="4" fillId="5" borderId="6" xfId="6"/>
    <xf numFmtId="0" fontId="0" fillId="0" borderId="8" xfId="0" applyBorder="1"/>
    <xf numFmtId="0" fontId="0" fillId="0" borderId="10" xfId="0" applyBorder="1"/>
    <xf numFmtId="166" fontId="0" fillId="9" borderId="14" xfId="0" applyNumberForma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9" fontId="6" fillId="0" borderId="0" xfId="0" applyNumberFormat="1" applyFont="1"/>
    <xf numFmtId="164" fontId="6" fillId="0" borderId="0" xfId="1" applyNumberFormat="1" applyFont="1" applyBorder="1"/>
    <xf numFmtId="164" fontId="4" fillId="9" borderId="0" xfId="1" applyNumberFormat="1" applyFont="1" applyFill="1" applyBorder="1"/>
    <xf numFmtId="164" fontId="6" fillId="0" borderId="0" xfId="0" applyNumberFormat="1" applyFont="1"/>
    <xf numFmtId="164" fontId="0" fillId="9" borderId="2" xfId="1" applyNumberFormat="1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indent="1"/>
    </xf>
    <xf numFmtId="167" fontId="11" fillId="0" borderId="0" xfId="0" applyNumberFormat="1" applyFont="1"/>
    <xf numFmtId="164" fontId="11" fillId="0" borderId="0" xfId="0" applyNumberFormat="1" applyFont="1"/>
    <xf numFmtId="0" fontId="11" fillId="0" borderId="0" xfId="0" applyFont="1" applyAlignment="1">
      <alignment horizontal="right"/>
    </xf>
    <xf numFmtId="168" fontId="11" fillId="0" borderId="0" xfId="0" applyNumberFormat="1" applyFont="1"/>
    <xf numFmtId="0" fontId="13" fillId="0" borderId="2" xfId="0" applyFont="1" applyBorder="1" applyAlignment="1">
      <alignment horizontal="left" indent="1"/>
    </xf>
    <xf numFmtId="168" fontId="13" fillId="0" borderId="2" xfId="0" applyNumberFormat="1" applyFont="1" applyBorder="1"/>
    <xf numFmtId="10" fontId="1" fillId="0" borderId="6" xfId="0" applyNumberFormat="1" applyFont="1" applyBorder="1"/>
    <xf numFmtId="6" fontId="1" fillId="0" borderId="6" xfId="0" applyNumberFormat="1" applyFont="1" applyBorder="1"/>
    <xf numFmtId="0" fontId="1" fillId="3" borderId="0" xfId="0" applyFont="1" applyFill="1"/>
    <xf numFmtId="0" fontId="1" fillId="3" borderId="10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9" borderId="7" xfId="0" applyNumberFormat="1" applyFont="1" applyFill="1" applyBorder="1"/>
    <xf numFmtId="9" fontId="7" fillId="0" borderId="0" xfId="3" applyFont="1"/>
    <xf numFmtId="0" fontId="14" fillId="0" borderId="0" xfId="0" applyFont="1"/>
    <xf numFmtId="165" fontId="14" fillId="0" borderId="0" xfId="0" applyNumberFormat="1" applyFont="1"/>
    <xf numFmtId="9" fontId="8" fillId="4" borderId="5" xfId="3" applyFont="1" applyFill="1" applyBorder="1"/>
    <xf numFmtId="0" fontId="9" fillId="3" borderId="0" xfId="0" applyFont="1" applyFill="1"/>
    <xf numFmtId="164" fontId="0" fillId="0" borderId="0" xfId="0" applyNumberFormat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164" fontId="0" fillId="0" borderId="0" xfId="1" applyNumberFormat="1" applyFont="1" applyFill="1" applyBorder="1"/>
    <xf numFmtId="164" fontId="15" fillId="0" borderId="0" xfId="7" applyNumberFormat="1" applyFont="1" applyFill="1" applyBorder="1">
      <alignment horizontal="center"/>
    </xf>
    <xf numFmtId="167" fontId="6" fillId="0" borderId="0" xfId="1" applyNumberFormat="1" applyFont="1" applyFill="1" applyBorder="1"/>
    <xf numFmtId="164" fontId="6" fillId="0" borderId="0" xfId="1" applyNumberFormat="1" applyFont="1" applyFill="1" applyBorder="1"/>
    <xf numFmtId="167" fontId="6" fillId="0" borderId="0" xfId="1" applyNumberFormat="1" applyFont="1" applyFill="1" applyBorder="1" applyAlignment="1">
      <alignment horizontal="center"/>
    </xf>
    <xf numFmtId="164" fontId="0" fillId="9" borderId="0" xfId="0" applyNumberFormat="1" applyFill="1" applyAlignment="1">
      <alignment horizontal="center"/>
    </xf>
    <xf numFmtId="9" fontId="6" fillId="0" borderId="0" xfId="3" applyFont="1" applyFill="1" applyBorder="1"/>
    <xf numFmtId="164" fontId="4" fillId="0" borderId="0" xfId="1" applyNumberFormat="1" applyFont="1" applyFill="1" applyBorder="1"/>
    <xf numFmtId="166" fontId="0" fillId="9" borderId="19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4" fontId="1" fillId="0" borderId="0" xfId="0" applyNumberFormat="1" applyFont="1"/>
    <xf numFmtId="164" fontId="1" fillId="0" borderId="0" xfId="1" applyNumberFormat="1" applyFont="1" applyFill="1" applyBorder="1"/>
    <xf numFmtId="164" fontId="0" fillId="0" borderId="0" xfId="0" applyNumberFormat="1" applyAlignment="1">
      <alignment horizontal="center"/>
    </xf>
    <xf numFmtId="164" fontId="9" fillId="6" borderId="4" xfId="7" applyNumberFormat="1" applyBorder="1">
      <alignment horizontal="center"/>
    </xf>
    <xf numFmtId="164" fontId="0" fillId="0" borderId="20" xfId="1" applyNumberFormat="1" applyFont="1" applyFill="1" applyBorder="1"/>
    <xf numFmtId="0" fontId="6" fillId="0" borderId="21" xfId="0" applyFont="1" applyBorder="1"/>
    <xf numFmtId="164" fontId="0" fillId="0" borderId="21" xfId="0" applyNumberFormat="1" applyBorder="1"/>
    <xf numFmtId="164" fontId="1" fillId="0" borderId="6" xfId="0" applyNumberFormat="1" applyFont="1" applyBorder="1"/>
    <xf numFmtId="0" fontId="0" fillId="0" borderId="21" xfId="0" applyBorder="1"/>
    <xf numFmtId="0" fontId="0" fillId="0" borderId="21" xfId="0" applyBorder="1" applyAlignment="1">
      <alignment horizontal="left"/>
    </xf>
    <xf numFmtId="164" fontId="1" fillId="3" borderId="6" xfId="0" applyNumberFormat="1" applyFont="1" applyFill="1" applyBorder="1" applyAlignment="1">
      <alignment horizontal="left"/>
    </xf>
    <xf numFmtId="6" fontId="9" fillId="8" borderId="4" xfId="5" applyNumberFormat="1" applyBorder="1"/>
    <xf numFmtId="164" fontId="0" fillId="0" borderId="22" xfId="0" applyNumberFormat="1" applyBorder="1"/>
    <xf numFmtId="164" fontId="4" fillId="0" borderId="21" xfId="1" applyNumberFormat="1" applyFont="1" applyFill="1" applyBorder="1"/>
    <xf numFmtId="164" fontId="1" fillId="3" borderId="6" xfId="1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0" fillId="0" borderId="21" xfId="1" applyNumberFormat="1" applyFont="1" applyFill="1" applyBorder="1"/>
  </cellXfs>
  <cellStyles count="8">
    <cellStyle name="Calculation" xfId="5" builtinId="22" customBuiltin="1"/>
    <cellStyle name="Comma" xfId="1" builtinId="3"/>
    <cellStyle name="Currency" xfId="2" builtinId="4"/>
    <cellStyle name="Input" xfId="4" builtinId="20" customBuiltin="1"/>
    <cellStyle name="Normal" xfId="0" builtinId="0"/>
    <cellStyle name="Percent" xfId="3" builtinId="5"/>
    <cellStyle name="Unique Cell" xfId="7" xr:uid="{61327B07-890C-4881-9E03-9DC1C93D73A2}"/>
    <cellStyle name="Used Cell" xfId="6" xr:uid="{7752C483-3844-4A57-84E4-2EC7E21416EF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Cashflow &amp; Distributions Detail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12300053290731E-2"/>
          <c:y val="0.17171296296296296"/>
          <c:w val="0.93646499695568552"/>
          <c:h val="0.614984324876057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'Solar DCF'!$C$91</c:f>
              <c:strCache>
                <c:ptCount val="1"/>
                <c:pt idx="0">
                  <c:v>Project Owner Pre-Tax Returns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'Solar DCF'!$F$91:$T$91</c:f>
              <c:numCache>
                <c:formatCode>_(* #,##0.0_);_(* \(#,##0.0\);_(*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E-45EB-9380-7A8E0221D3EA}"/>
            </c:ext>
          </c:extLst>
        </c:ser>
        <c:ser>
          <c:idx val="2"/>
          <c:order val="1"/>
          <c:tx>
            <c:strRef>
              <c:f>'Solar DCF'!$C$90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'Solar DCF'!$F$90:$T$90</c:f>
              <c:numCache>
                <c:formatCode>_(* #,##0.0_);_(* \(#,##0.0\);_(*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5EB-9380-7A8E0221D3EA}"/>
            </c:ext>
          </c:extLst>
        </c:ser>
        <c:ser>
          <c:idx val="1"/>
          <c:order val="2"/>
          <c:tx>
            <c:strRef>
              <c:f>'Solar DCF'!$C$89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'Solar DCF'!$F$89:$T$89</c:f>
              <c:numCache>
                <c:formatCode>_(* #,##0.0_);_(* \(#,##0.0\);_(*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E-45EB-9380-7A8E0221D3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7123567"/>
        <c:axId val="1085713743"/>
      </c:barChart>
      <c:lineChart>
        <c:grouping val="standard"/>
        <c:varyColors val="0"/>
        <c:ser>
          <c:idx val="0"/>
          <c:order val="3"/>
          <c:tx>
            <c:strRef>
              <c:f>'Solar DCF'!$C$88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'Solar DCF'!$F$88:$T$88</c:f>
              <c:numCache>
                <c:formatCode>_(* #,##0.0_);_(* \(#,##0.0\);_(*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E-45EB-9380-7A8E0221D3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7123567"/>
        <c:axId val="1085713743"/>
      </c:lineChart>
      <c:catAx>
        <c:axId val="1987123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713743"/>
        <c:crosses val="autoZero"/>
        <c:auto val="1"/>
        <c:lblAlgn val="ctr"/>
        <c:lblOffset val="100"/>
        <c:noMultiLvlLbl val="0"/>
      </c:catAx>
      <c:valAx>
        <c:axId val="108571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($MM)</a:t>
                </a:r>
              </a:p>
            </c:rich>
          </c:tx>
          <c:layout>
            <c:manualLayout>
              <c:xMode val="edge"/>
              <c:yMode val="edge"/>
              <c:x val="0"/>
              <c:y val="5.04895742198891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71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Capital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52-42D2-A21B-A76F3035E2FF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52-42D2-A21B-A76F3035E2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'Solar DCF'!$C$94:$C$95</c:f>
              <c:strCache>
                <c:ptCount val="2"/>
                <c:pt idx="0">
                  <c:v>Project Owner</c:v>
                </c:pt>
                <c:pt idx="1">
                  <c:v>Debt</c:v>
                </c:pt>
              </c:strCache>
            </c:strRef>
          </c:cat>
          <c:val>
            <c:numRef>
              <c:f>'Solar DCF'!$D$94:$D$95</c:f>
              <c:numCache>
                <c:formatCode>"$"0.0"MM"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52-42D2-A21B-A76F3035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Cashflow &amp; Distributions Detail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12300053290731E-2"/>
          <c:y val="0.17171296296296296"/>
          <c:w val="0.93646499695568552"/>
          <c:h val="0.614984324876057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'Unlevered Answer Key'!$C$91</c:f>
              <c:strCache>
                <c:ptCount val="1"/>
                <c:pt idx="0">
                  <c:v>Project Owner Pre-Tax Returns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'Unlevered Answer Key'!$F$91:$T$91</c:f>
              <c:numCache>
                <c:formatCode>_(* #,##0.0_);_(* \(#,##0.0\);_(* "-"??_);_(@_)</c:formatCode>
                <c:ptCount val="15"/>
                <c:pt idx="0">
                  <c:v>19</c:v>
                </c:pt>
                <c:pt idx="1">
                  <c:v>18.887499999999999</c:v>
                </c:pt>
                <c:pt idx="2">
                  <c:v>18.775562499999999</c:v>
                </c:pt>
                <c:pt idx="3">
                  <c:v>18.664184687500001</c:v>
                </c:pt>
                <c:pt idx="4">
                  <c:v>18.553363764062503</c:v>
                </c:pt>
                <c:pt idx="5">
                  <c:v>18.443096945242186</c:v>
                </c:pt>
                <c:pt idx="6">
                  <c:v>18.333381460515977</c:v>
                </c:pt>
                <c:pt idx="7">
                  <c:v>18.224214553213397</c:v>
                </c:pt>
                <c:pt idx="8">
                  <c:v>18.11559348044733</c:v>
                </c:pt>
                <c:pt idx="9">
                  <c:v>18.007515513045096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A-4811-8C76-3FDA061B6B28}"/>
            </c:ext>
          </c:extLst>
        </c:ser>
        <c:ser>
          <c:idx val="2"/>
          <c:order val="1"/>
          <c:tx>
            <c:strRef>
              <c:f>'Unlevered Answer Key'!$C$90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'Unlevered Answer Key'!$F$90:$T$90</c:f>
              <c:numCache>
                <c:formatCode>_(* #,##0.0_);_(* \(#,##0.0\);_(*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A-4811-8C76-3FDA061B6B28}"/>
            </c:ext>
          </c:extLst>
        </c:ser>
        <c:ser>
          <c:idx val="1"/>
          <c:order val="2"/>
          <c:tx>
            <c:strRef>
              <c:f>'Unlevered Answer Key'!$C$89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'Unlevered Answer Key'!$F$89:$T$89</c:f>
              <c:numCache>
                <c:formatCode>_(* #,##0.0_);_(* \(#,##0.0\);_(* "-"??_);_(@_)</c:formatCode>
                <c:ptCount val="1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4A-4811-8C76-3FDA061B6B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7123567"/>
        <c:axId val="1085713743"/>
      </c:barChart>
      <c:lineChart>
        <c:grouping val="standard"/>
        <c:varyColors val="0"/>
        <c:ser>
          <c:idx val="0"/>
          <c:order val="3"/>
          <c:tx>
            <c:strRef>
              <c:f>'Unlevered Answer Key'!$C$88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'Unlevered Answer Key'!$F$88:$T$88</c:f>
              <c:numCache>
                <c:formatCode>_(* #,##0.0_);_(* \(#,##0.0\);_(* "-"??_);_(@_)</c:formatCode>
                <c:ptCount val="15"/>
                <c:pt idx="0">
                  <c:v>22.5</c:v>
                </c:pt>
                <c:pt idx="1">
                  <c:v>22.387499999999999</c:v>
                </c:pt>
                <c:pt idx="2">
                  <c:v>22.275562499999999</c:v>
                </c:pt>
                <c:pt idx="3">
                  <c:v>22.164184687500001</c:v>
                </c:pt>
                <c:pt idx="4">
                  <c:v>22.053363764062503</c:v>
                </c:pt>
                <c:pt idx="5">
                  <c:v>21.943096945242186</c:v>
                </c:pt>
                <c:pt idx="6">
                  <c:v>21.833381460515977</c:v>
                </c:pt>
                <c:pt idx="7">
                  <c:v>21.724214553213397</c:v>
                </c:pt>
                <c:pt idx="8">
                  <c:v>21.61559348044733</c:v>
                </c:pt>
                <c:pt idx="9">
                  <c:v>21.507515513045096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4A-4811-8C76-3FDA061B6B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7123567"/>
        <c:axId val="1085713743"/>
      </c:lineChart>
      <c:catAx>
        <c:axId val="1987123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713743"/>
        <c:crosses val="autoZero"/>
        <c:auto val="1"/>
        <c:lblAlgn val="ctr"/>
        <c:lblOffset val="100"/>
        <c:noMultiLvlLbl val="0"/>
      </c:catAx>
      <c:valAx>
        <c:axId val="108571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($MM)</a:t>
                </a:r>
              </a:p>
            </c:rich>
          </c:tx>
          <c:layout>
            <c:manualLayout>
              <c:xMode val="edge"/>
              <c:yMode val="edge"/>
              <c:x val="0"/>
              <c:y val="5.04895742198891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71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Capital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45-4AFB-874E-4292DEB4609A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45-4AFB-874E-4292DEB460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'Unlevered Answer Key'!$C$94:$C$95</c:f>
              <c:strCache>
                <c:ptCount val="2"/>
                <c:pt idx="0">
                  <c:v>Project Owner</c:v>
                </c:pt>
                <c:pt idx="1">
                  <c:v>Debt</c:v>
                </c:pt>
              </c:strCache>
            </c:strRef>
          </c:cat>
          <c:val>
            <c:numRef>
              <c:f>'Unlevered Answer Key'!$D$94:$D$95</c:f>
              <c:numCache>
                <c:formatCode>"$"0.0"MM"</c:formatCode>
                <c:ptCount val="2"/>
                <c:pt idx="0">
                  <c:v>150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45-4AFB-874E-4292DEB4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Cashflow &amp; Distributions Detail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12300053290731E-2"/>
          <c:y val="0.17171296296296296"/>
          <c:w val="0.93646499695568552"/>
          <c:h val="0.614984324876057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'Full Answer Key'!$C$91</c:f>
              <c:strCache>
                <c:ptCount val="1"/>
                <c:pt idx="0">
                  <c:v>Project Owner Pre-Tax Returns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'Full Answer Key'!$F$91:$T$91</c:f>
              <c:numCache>
                <c:formatCode>_(* #,##0.0_);_(* \(#,##0.0\);_(* "-"??_);_(@_)</c:formatCode>
                <c:ptCount val="15"/>
                <c:pt idx="0">
                  <c:v>7.125</c:v>
                </c:pt>
                <c:pt idx="1">
                  <c:v>7.0828124999999993</c:v>
                </c:pt>
                <c:pt idx="2">
                  <c:v>7.0408359374999989</c:v>
                </c:pt>
                <c:pt idx="3">
                  <c:v>6.9990692578125007</c:v>
                </c:pt>
                <c:pt idx="4">
                  <c:v>6.9575114115234413</c:v>
                </c:pt>
                <c:pt idx="5">
                  <c:v>6.9161613544658209</c:v>
                </c:pt>
                <c:pt idx="6">
                  <c:v>6.8750180476934908</c:v>
                </c:pt>
                <c:pt idx="7">
                  <c:v>6.8340804574550251</c:v>
                </c:pt>
                <c:pt idx="8">
                  <c:v>6.7933475551677507</c:v>
                </c:pt>
                <c:pt idx="9">
                  <c:v>6.7528183173919132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D6-4057-BC31-D6FD67D1CB5A}"/>
            </c:ext>
          </c:extLst>
        </c:ser>
        <c:ser>
          <c:idx val="2"/>
          <c:order val="1"/>
          <c:tx>
            <c:strRef>
              <c:f>'Full Answer Key'!$C$90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'Full Answer Key'!$F$90:$T$90</c:f>
              <c:numCache>
                <c:formatCode>_(* #,##0.0_);_(* \(#,##0.0\);_(* "-"??_);_(@_)</c:formatCode>
                <c:ptCount val="15"/>
                <c:pt idx="0">
                  <c:v>11.875</c:v>
                </c:pt>
                <c:pt idx="1">
                  <c:v>11.8046875</c:v>
                </c:pt>
                <c:pt idx="2">
                  <c:v>11.734726562500001</c:v>
                </c:pt>
                <c:pt idx="3">
                  <c:v>11.6651154296875</c:v>
                </c:pt>
                <c:pt idx="4">
                  <c:v>11.595852352539062</c:v>
                </c:pt>
                <c:pt idx="5">
                  <c:v>11.526935590776365</c:v>
                </c:pt>
                <c:pt idx="6">
                  <c:v>11.458363412822486</c:v>
                </c:pt>
                <c:pt idx="7">
                  <c:v>11.390134095758372</c:v>
                </c:pt>
                <c:pt idx="8">
                  <c:v>11.32224592527958</c:v>
                </c:pt>
                <c:pt idx="9">
                  <c:v>11.254697195653183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6-4057-BC31-D6FD67D1CB5A}"/>
            </c:ext>
          </c:extLst>
        </c:ser>
        <c:ser>
          <c:idx val="1"/>
          <c:order val="2"/>
          <c:tx>
            <c:strRef>
              <c:f>'Full Answer Key'!$C$89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'Full Answer Key'!$F$89:$T$89</c:f>
              <c:numCache>
                <c:formatCode>_(* #,##0.0_);_(* \(#,##0.0\);_(* "-"??_);_(@_)</c:formatCode>
                <c:ptCount val="1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6-4057-BC31-D6FD67D1CB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7123567"/>
        <c:axId val="1085713743"/>
      </c:barChart>
      <c:lineChart>
        <c:grouping val="standard"/>
        <c:varyColors val="0"/>
        <c:ser>
          <c:idx val="0"/>
          <c:order val="3"/>
          <c:tx>
            <c:strRef>
              <c:f>'Full Answer Key'!$C$88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'Full Answer Key'!$F$88:$T$88</c:f>
              <c:numCache>
                <c:formatCode>_(* #,##0.0_);_(* \(#,##0.0\);_(* "-"??_);_(@_)</c:formatCode>
                <c:ptCount val="15"/>
                <c:pt idx="0">
                  <c:v>22.5</c:v>
                </c:pt>
                <c:pt idx="1">
                  <c:v>22.387499999999999</c:v>
                </c:pt>
                <c:pt idx="2">
                  <c:v>22.275562499999999</c:v>
                </c:pt>
                <c:pt idx="3">
                  <c:v>22.164184687500001</c:v>
                </c:pt>
                <c:pt idx="4">
                  <c:v>22.053363764062503</c:v>
                </c:pt>
                <c:pt idx="5">
                  <c:v>21.943096945242186</c:v>
                </c:pt>
                <c:pt idx="6">
                  <c:v>21.833381460515977</c:v>
                </c:pt>
                <c:pt idx="7">
                  <c:v>21.724214553213397</c:v>
                </c:pt>
                <c:pt idx="8">
                  <c:v>21.61559348044733</c:v>
                </c:pt>
                <c:pt idx="9">
                  <c:v>21.507515513045096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6-4057-BC31-D6FD67D1CB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7123567"/>
        <c:axId val="1085713743"/>
      </c:lineChart>
      <c:catAx>
        <c:axId val="1987123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713743"/>
        <c:crosses val="autoZero"/>
        <c:auto val="1"/>
        <c:lblAlgn val="ctr"/>
        <c:lblOffset val="100"/>
        <c:noMultiLvlLbl val="0"/>
      </c:catAx>
      <c:valAx>
        <c:axId val="108571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($MM)</a:t>
                </a:r>
              </a:p>
            </c:rich>
          </c:tx>
          <c:layout>
            <c:manualLayout>
              <c:xMode val="edge"/>
              <c:yMode val="edge"/>
              <c:x val="0"/>
              <c:y val="5.04895742198891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71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Capital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FB-4EC0-948E-EBA2ED1CE07A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FB-4EC0-948E-EBA2ED1CE0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'Full Answer Key'!$C$94:$C$95</c:f>
              <c:strCache>
                <c:ptCount val="2"/>
                <c:pt idx="0">
                  <c:v>Project Owner</c:v>
                </c:pt>
                <c:pt idx="1">
                  <c:v>Debt</c:v>
                </c:pt>
              </c:strCache>
            </c:strRef>
          </c:cat>
          <c:val>
            <c:numRef>
              <c:f>'Full Answer Key'!$D$94:$D$95</c:f>
              <c:numCache>
                <c:formatCode>"$"0.0"MM"</c:formatCode>
                <c:ptCount val="2"/>
                <c:pt idx="0">
                  <c:v>60.501864249306678</c:v>
                </c:pt>
                <c:pt idx="1">
                  <c:v>89.498135750693322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B-4EC0-948E-EBA2ED1C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81429</xdr:rowOff>
    </xdr:from>
    <xdr:to>
      <xdr:col>2</xdr:col>
      <xdr:colOff>1253490</xdr:colOff>
      <xdr:row>2</xdr:row>
      <xdr:rowOff>41908</xdr:rowOff>
    </xdr:to>
    <xdr:pic>
      <xdr:nvPicPr>
        <xdr:cNvPr id="2" name="Picture 1" descr="Image result for cornell johnson school">
          <a:extLst>
            <a:ext uri="{FF2B5EF4-FFF2-40B4-BE49-F238E27FC236}">
              <a16:creationId xmlns:a16="http://schemas.microsoft.com/office/drawing/2014/main" id="{832C5072-EC9E-4B38-A27E-C75EA9F2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1429"/>
          <a:ext cx="1504950" cy="47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</xdr:colOff>
      <xdr:row>6</xdr:row>
      <xdr:rowOff>76200</xdr:rowOff>
    </xdr:from>
    <xdr:to>
      <xdr:col>16</xdr:col>
      <xdr:colOff>762000</xdr:colOff>
      <xdr:row>23</xdr:row>
      <xdr:rowOff>33336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2AFB94-1674-45DC-B20F-57B199F2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19051</xdr:colOff>
      <xdr:row>6</xdr:row>
      <xdr:rowOff>76200</xdr:rowOff>
    </xdr:from>
    <xdr:to>
      <xdr:col>20</xdr:col>
      <xdr:colOff>0</xdr:colOff>
      <xdr:row>23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7CC1EA-CC81-4B79-945B-A03BCF47D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81429</xdr:rowOff>
    </xdr:from>
    <xdr:to>
      <xdr:col>2</xdr:col>
      <xdr:colOff>1253490</xdr:colOff>
      <xdr:row>2</xdr:row>
      <xdr:rowOff>41908</xdr:rowOff>
    </xdr:to>
    <xdr:pic>
      <xdr:nvPicPr>
        <xdr:cNvPr id="2" name="Picture 1" descr="Image result for cornell johnson school">
          <a:extLst>
            <a:ext uri="{FF2B5EF4-FFF2-40B4-BE49-F238E27FC236}">
              <a16:creationId xmlns:a16="http://schemas.microsoft.com/office/drawing/2014/main" id="{07A94BC3-FBA6-4A48-9100-2A7BED5D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1429"/>
          <a:ext cx="1504950" cy="47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</xdr:colOff>
      <xdr:row>6</xdr:row>
      <xdr:rowOff>76200</xdr:rowOff>
    </xdr:from>
    <xdr:to>
      <xdr:col>16</xdr:col>
      <xdr:colOff>762000</xdr:colOff>
      <xdr:row>23</xdr:row>
      <xdr:rowOff>33336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6A5A63-E7DA-4378-ADF2-DC1EC5519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19051</xdr:colOff>
      <xdr:row>6</xdr:row>
      <xdr:rowOff>76200</xdr:rowOff>
    </xdr:from>
    <xdr:to>
      <xdr:col>20</xdr:col>
      <xdr:colOff>0</xdr:colOff>
      <xdr:row>23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A874DC-8798-4978-9AA4-CBE664B16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81429</xdr:rowOff>
    </xdr:from>
    <xdr:to>
      <xdr:col>2</xdr:col>
      <xdr:colOff>1253490</xdr:colOff>
      <xdr:row>2</xdr:row>
      <xdr:rowOff>41908</xdr:rowOff>
    </xdr:to>
    <xdr:pic>
      <xdr:nvPicPr>
        <xdr:cNvPr id="2" name="Picture 1" descr="Image result for cornell johnson school">
          <a:extLst>
            <a:ext uri="{FF2B5EF4-FFF2-40B4-BE49-F238E27FC236}">
              <a16:creationId xmlns:a16="http://schemas.microsoft.com/office/drawing/2014/main" id="{1D48C0E6-38A8-4671-B73C-927815517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81429"/>
          <a:ext cx="1493520" cy="47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</xdr:colOff>
      <xdr:row>6</xdr:row>
      <xdr:rowOff>76200</xdr:rowOff>
    </xdr:from>
    <xdr:to>
      <xdr:col>16</xdr:col>
      <xdr:colOff>762000</xdr:colOff>
      <xdr:row>23</xdr:row>
      <xdr:rowOff>33336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27F859-88E6-433B-AA0B-52E83F8A1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19051</xdr:colOff>
      <xdr:row>6</xdr:row>
      <xdr:rowOff>76200</xdr:rowOff>
    </xdr:from>
    <xdr:to>
      <xdr:col>20</xdr:col>
      <xdr:colOff>0</xdr:colOff>
      <xdr:row>23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750202-A938-4A2C-BCAB-6088044DD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A54A-1D9F-4DBC-AA2E-ABB7F2E8E495}">
  <dimension ref="A1:AW118"/>
  <sheetViews>
    <sheetView showGridLines="0" zoomScale="70" zoomScaleNormal="70" workbookViewId="0">
      <selection activeCell="E33" sqref="E33:E51"/>
    </sheetView>
  </sheetViews>
  <sheetFormatPr baseColWidth="10" defaultColWidth="0" defaultRowHeight="14.5" customHeight="1" zeroHeight="1" x14ac:dyDescent="0.2"/>
  <cols>
    <col min="1" max="1" width="2.33203125" customWidth="1"/>
    <col min="2" max="2" width="3.5" customWidth="1"/>
    <col min="3" max="3" width="23.33203125" bestFit="1" customWidth="1"/>
    <col min="4" max="4" width="15.6640625" customWidth="1"/>
    <col min="5" max="5" width="16.33203125" customWidth="1"/>
    <col min="6" max="6" width="15.33203125" customWidth="1"/>
    <col min="7" max="9" width="12.6640625" customWidth="1"/>
    <col min="10" max="10" width="13.83203125" bestFit="1" customWidth="1"/>
    <col min="11" max="20" width="12.6640625" customWidth="1"/>
    <col min="21" max="21" width="2.5" customWidth="1"/>
    <col min="22" max="49" width="0" hidden="1" customWidth="1"/>
    <col min="50" max="16384" width="8.83203125" hidden="1"/>
  </cols>
  <sheetData>
    <row r="1" spans="2:20" ht="15" x14ac:dyDescent="0.2"/>
    <row r="2" spans="2:20" ht="26" x14ac:dyDescent="0.3">
      <c r="D2" s="1" t="s">
        <v>15</v>
      </c>
    </row>
    <row r="3" spans="2:20" ht="15" x14ac:dyDescent="0.2"/>
    <row r="4" spans="2:20" ht="15" x14ac:dyDescent="0.2">
      <c r="B4" s="29" t="s">
        <v>0</v>
      </c>
      <c r="C4" s="30"/>
      <c r="D4" s="31"/>
      <c r="E4" s="38"/>
      <c r="G4" s="29" t="s">
        <v>63</v>
      </c>
      <c r="H4" s="30"/>
      <c r="I4" s="62" t="s">
        <v>11</v>
      </c>
      <c r="J4" s="32" t="s">
        <v>6</v>
      </c>
      <c r="L4" s="29" t="s">
        <v>75</v>
      </c>
      <c r="M4" s="30"/>
      <c r="N4" s="30"/>
      <c r="O4" s="30"/>
      <c r="P4" s="30"/>
      <c r="Q4" s="30"/>
      <c r="R4" s="30"/>
      <c r="S4" s="30"/>
      <c r="T4" s="38"/>
    </row>
    <row r="5" spans="2:20" ht="15" customHeight="1" x14ac:dyDescent="0.2">
      <c r="B5" s="39"/>
      <c r="C5" s="5" t="s">
        <v>4</v>
      </c>
      <c r="E5" s="40">
        <v>150</v>
      </c>
      <c r="G5" s="33" t="s">
        <v>12</v>
      </c>
      <c r="H5" s="5"/>
      <c r="I5" s="63">
        <v>1</v>
      </c>
      <c r="J5" s="34">
        <f>$E$18*I5</f>
        <v>150000000</v>
      </c>
      <c r="L5" s="39" t="s">
        <v>71</v>
      </c>
      <c r="M5" s="100"/>
      <c r="N5" s="98" t="e">
        <f>$D$53</f>
        <v>#NUM!</v>
      </c>
      <c r="O5" s="25"/>
      <c r="P5" s="25"/>
      <c r="Q5" s="25"/>
      <c r="R5" s="100" t="s">
        <v>73</v>
      </c>
      <c r="S5" s="100"/>
      <c r="T5" s="98" t="e">
        <f>$D$81</f>
        <v>#NUM!</v>
      </c>
    </row>
    <row r="6" spans="2:20" ht="15" customHeight="1" x14ac:dyDescent="0.2">
      <c r="B6" s="33"/>
      <c r="C6" s="5" t="s">
        <v>18</v>
      </c>
      <c r="E6" s="40">
        <v>2000</v>
      </c>
      <c r="G6" s="33" t="s">
        <v>13</v>
      </c>
      <c r="H6" s="5"/>
      <c r="I6" s="65">
        <v>0.3</v>
      </c>
      <c r="J6" s="34">
        <f>J5*I6</f>
        <v>45000000</v>
      </c>
      <c r="L6" s="101" t="s">
        <v>72</v>
      </c>
      <c r="M6" s="102"/>
      <c r="N6" s="99">
        <f>$D$54</f>
        <v>0</v>
      </c>
      <c r="O6" s="103"/>
      <c r="P6" s="103"/>
      <c r="Q6" s="103"/>
      <c r="R6" s="102" t="s">
        <v>74</v>
      </c>
      <c r="S6" s="102"/>
      <c r="T6" s="99">
        <f>$D$82</f>
        <v>0</v>
      </c>
    </row>
    <row r="7" spans="2:20" ht="15" customHeight="1" x14ac:dyDescent="0.2">
      <c r="B7" s="33"/>
      <c r="C7" s="5" t="s">
        <v>1</v>
      </c>
      <c r="E7" s="41">
        <v>5.0000000000000001E-3</v>
      </c>
      <c r="G7" s="33" t="s">
        <v>21</v>
      </c>
      <c r="H7" s="5"/>
      <c r="I7" s="65">
        <v>0.5</v>
      </c>
      <c r="J7" s="34">
        <f>J5-(I7*J6)</f>
        <v>127500000</v>
      </c>
    </row>
    <row r="8" spans="2:20" ht="15" customHeight="1" x14ac:dyDescent="0.2">
      <c r="B8" s="33"/>
      <c r="C8" s="5" t="s">
        <v>2</v>
      </c>
      <c r="E8" s="42">
        <v>75</v>
      </c>
      <c r="G8" s="35" t="s">
        <v>23</v>
      </c>
      <c r="H8" s="36"/>
      <c r="I8" s="64">
        <v>0.21</v>
      </c>
      <c r="J8" s="37"/>
    </row>
    <row r="9" spans="2:20" ht="15" customHeight="1" x14ac:dyDescent="0.2">
      <c r="B9" s="33"/>
      <c r="C9" s="111" t="s">
        <v>76</v>
      </c>
      <c r="D9" s="109"/>
      <c r="E9" s="42">
        <v>10000</v>
      </c>
      <c r="F9" s="108"/>
    </row>
    <row r="10" spans="2:20" ht="15" x14ac:dyDescent="0.2">
      <c r="B10" s="33"/>
      <c r="C10" s="111" t="s">
        <v>77</v>
      </c>
      <c r="D10" s="108"/>
      <c r="E10" s="42">
        <v>2000000</v>
      </c>
    </row>
    <row r="11" spans="2:20" ht="15" x14ac:dyDescent="0.2">
      <c r="B11" s="35"/>
      <c r="C11" s="36" t="s">
        <v>44</v>
      </c>
      <c r="D11" s="22"/>
      <c r="E11" s="43">
        <v>10</v>
      </c>
      <c r="G11" s="29" t="s">
        <v>56</v>
      </c>
      <c r="H11" s="30"/>
      <c r="I11" s="31"/>
      <c r="J11" s="32"/>
    </row>
    <row r="12" spans="2:20" ht="15" x14ac:dyDescent="0.2">
      <c r="G12" s="33" t="s">
        <v>36</v>
      </c>
      <c r="H12" s="5"/>
      <c r="J12" s="49">
        <v>0.05</v>
      </c>
    </row>
    <row r="13" spans="2:20" ht="15" x14ac:dyDescent="0.2">
      <c r="B13" s="29" t="s">
        <v>3</v>
      </c>
      <c r="C13" s="44"/>
      <c r="D13" s="31" t="s">
        <v>16</v>
      </c>
      <c r="E13" s="32" t="s">
        <v>6</v>
      </c>
      <c r="G13" s="33" t="s">
        <v>37</v>
      </c>
      <c r="H13" s="5"/>
      <c r="J13" s="50">
        <v>1.6</v>
      </c>
    </row>
    <row r="14" spans="2:20" ht="15" x14ac:dyDescent="0.2">
      <c r="B14" s="33"/>
      <c r="C14" s="5" t="s">
        <v>7</v>
      </c>
      <c r="D14" s="45">
        <v>0.35</v>
      </c>
      <c r="E14" s="46">
        <f>D14*$E$5*1000000</f>
        <v>52500000</v>
      </c>
      <c r="G14" s="35" t="s">
        <v>45</v>
      </c>
      <c r="H14" s="36"/>
      <c r="I14" s="22"/>
      <c r="J14" s="43">
        <v>10</v>
      </c>
    </row>
    <row r="15" spans="2:20" ht="15" x14ac:dyDescent="0.2">
      <c r="B15" s="33"/>
      <c r="C15" s="5" t="s">
        <v>5</v>
      </c>
      <c r="D15" s="45">
        <v>0.4</v>
      </c>
      <c r="E15" s="46">
        <f>D15*$E$5*1000000</f>
        <v>60000000</v>
      </c>
    </row>
    <row r="16" spans="2:20" ht="15" x14ac:dyDescent="0.2">
      <c r="B16" s="33"/>
      <c r="C16" s="5" t="s">
        <v>8</v>
      </c>
      <c r="D16" s="45">
        <v>0.1</v>
      </c>
      <c r="E16" s="46">
        <f>D16*$E$5*1000000</f>
        <v>15000000</v>
      </c>
      <c r="G16" s="29" t="s">
        <v>69</v>
      </c>
      <c r="H16" s="32"/>
    </row>
    <row r="17" spans="2:21" ht="15" x14ac:dyDescent="0.2">
      <c r="B17" s="33"/>
      <c r="C17" s="5" t="s">
        <v>9</v>
      </c>
      <c r="D17" s="45">
        <v>0.15</v>
      </c>
      <c r="E17" s="46">
        <f>D17*$E$5*1000000</f>
        <v>22500000</v>
      </c>
      <c r="G17" s="80" t="s">
        <v>51</v>
      </c>
      <c r="H17" s="77"/>
    </row>
    <row r="18" spans="2:21" ht="15" x14ac:dyDescent="0.2">
      <c r="B18" s="12"/>
      <c r="C18" s="47" t="s">
        <v>10</v>
      </c>
      <c r="D18" s="48">
        <f>SUM(D14:D17)</f>
        <v>1</v>
      </c>
      <c r="E18" s="18">
        <f>SUM(E14:E17)</f>
        <v>150000000</v>
      </c>
      <c r="G18" s="80" t="s">
        <v>52</v>
      </c>
      <c r="H18" s="78"/>
    </row>
    <row r="19" spans="2:21" ht="15" x14ac:dyDescent="0.2">
      <c r="D19" s="19"/>
      <c r="E19" s="20"/>
      <c r="G19" s="80" t="s">
        <v>53</v>
      </c>
      <c r="H19" s="79"/>
    </row>
    <row r="20" spans="2:21" ht="15" x14ac:dyDescent="0.2">
      <c r="B20" s="29" t="s">
        <v>64</v>
      </c>
      <c r="C20" s="30"/>
      <c r="D20" s="31"/>
      <c r="E20" s="32"/>
      <c r="G20" s="81" t="s">
        <v>68</v>
      </c>
      <c r="H20" s="68"/>
    </row>
    <row r="21" spans="2:21" ht="15" x14ac:dyDescent="0.2">
      <c r="B21" s="12" t="s">
        <v>57</v>
      </c>
      <c r="C21" s="47"/>
      <c r="D21" s="59"/>
      <c r="E21" s="61">
        <v>0.08</v>
      </c>
    </row>
    <row r="22" spans="2:21" ht="15" x14ac:dyDescent="0.2"/>
    <row r="23" spans="2:21" ht="15" x14ac:dyDescent="0.2">
      <c r="G23" s="108"/>
    </row>
    <row r="24" spans="2:21" ht="15" x14ac:dyDescent="0.2">
      <c r="D24" s="19"/>
      <c r="E24" s="20"/>
      <c r="G24" s="108"/>
    </row>
    <row r="25" spans="2:21" ht="15" x14ac:dyDescent="0.2">
      <c r="B25" s="25" t="s">
        <v>27</v>
      </c>
      <c r="D25" s="19"/>
      <c r="E25" s="20"/>
    </row>
    <row r="26" spans="2:21" ht="15" x14ac:dyDescent="0.2">
      <c r="B26" s="21"/>
      <c r="C26" s="3" t="s">
        <v>14</v>
      </c>
      <c r="D26" s="6"/>
      <c r="E26" s="6"/>
      <c r="F26" s="6">
        <v>0</v>
      </c>
      <c r="G26" s="6">
        <f>F26+1</f>
        <v>1</v>
      </c>
      <c r="H26" s="6">
        <f>G26+1</f>
        <v>2</v>
      </c>
      <c r="I26" s="6">
        <f t="shared" ref="I26:T26" si="0">H26+1</f>
        <v>3</v>
      </c>
      <c r="J26" s="6">
        <f t="shared" si="0"/>
        <v>4</v>
      </c>
      <c r="K26" s="6">
        <f t="shared" si="0"/>
        <v>5</v>
      </c>
      <c r="L26" s="6">
        <f t="shared" si="0"/>
        <v>6</v>
      </c>
      <c r="M26" s="6">
        <f t="shared" si="0"/>
        <v>7</v>
      </c>
      <c r="N26" s="6">
        <f t="shared" si="0"/>
        <v>8</v>
      </c>
      <c r="O26" s="6">
        <f t="shared" si="0"/>
        <v>9</v>
      </c>
      <c r="P26" s="6">
        <f t="shared" si="0"/>
        <v>10</v>
      </c>
      <c r="Q26" s="6">
        <f t="shared" si="0"/>
        <v>11</v>
      </c>
      <c r="R26" s="6">
        <f t="shared" si="0"/>
        <v>12</v>
      </c>
      <c r="S26" s="6">
        <f t="shared" si="0"/>
        <v>13</v>
      </c>
      <c r="T26" s="6">
        <f t="shared" si="0"/>
        <v>14</v>
      </c>
      <c r="U26" s="28"/>
    </row>
    <row r="27" spans="2:21" ht="15" x14ac:dyDescent="0.2">
      <c r="G27" s="110">
        <v>0.2</v>
      </c>
      <c r="H27" s="110">
        <v>0.32000000000000006</v>
      </c>
      <c r="I27" s="110">
        <v>0.192</v>
      </c>
      <c r="J27" s="110">
        <v>0.1152</v>
      </c>
      <c r="K27" s="110">
        <v>0.11519999999999998</v>
      </c>
      <c r="L27" s="110">
        <v>5.7599999999999991E-2</v>
      </c>
    </row>
    <row r="28" spans="2:21" ht="15" x14ac:dyDescent="0.2">
      <c r="D28" s="17"/>
      <c r="F28" s="51"/>
      <c r="G28" s="107"/>
      <c r="H28" s="51"/>
      <c r="I28" s="51"/>
      <c r="J28" s="51"/>
      <c r="K28" s="51"/>
    </row>
    <row r="29" spans="2:21" ht="15" x14ac:dyDescent="0.2">
      <c r="B29" s="25" t="s">
        <v>32</v>
      </c>
      <c r="C29" s="17"/>
      <c r="D29" s="17"/>
      <c r="E29" s="17"/>
      <c r="F29" s="17"/>
      <c r="G29" s="17"/>
      <c r="H29" s="17"/>
      <c r="I29" s="1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1" ht="15" x14ac:dyDescent="0.2">
      <c r="B30" s="13"/>
      <c r="C30" s="3" t="s">
        <v>14</v>
      </c>
      <c r="D30" s="4"/>
      <c r="E30" s="139" t="s">
        <v>6</v>
      </c>
      <c r="F30" s="4">
        <f t="shared" ref="F30:T30" si="1">F26</f>
        <v>0</v>
      </c>
      <c r="G30" s="4">
        <f t="shared" si="1"/>
        <v>1</v>
      </c>
      <c r="H30" s="4">
        <f t="shared" si="1"/>
        <v>2</v>
      </c>
      <c r="I30" s="4">
        <f t="shared" si="1"/>
        <v>3</v>
      </c>
      <c r="J30" s="4">
        <f t="shared" si="1"/>
        <v>4</v>
      </c>
      <c r="K30" s="4">
        <f t="shared" si="1"/>
        <v>5</v>
      </c>
      <c r="L30" s="4">
        <f t="shared" si="1"/>
        <v>6</v>
      </c>
      <c r="M30" s="4">
        <f t="shared" si="1"/>
        <v>7</v>
      </c>
      <c r="N30" s="4">
        <f t="shared" si="1"/>
        <v>8</v>
      </c>
      <c r="O30" s="4">
        <f t="shared" si="1"/>
        <v>9</v>
      </c>
      <c r="P30" s="4">
        <f t="shared" si="1"/>
        <v>10</v>
      </c>
      <c r="Q30" s="4">
        <f t="shared" si="1"/>
        <v>11</v>
      </c>
      <c r="R30" s="4">
        <f t="shared" si="1"/>
        <v>12</v>
      </c>
      <c r="S30" s="4">
        <f t="shared" si="1"/>
        <v>13</v>
      </c>
      <c r="T30" s="4">
        <f t="shared" si="1"/>
        <v>14</v>
      </c>
      <c r="U30" s="28"/>
    </row>
    <row r="31" spans="2:21" ht="15" x14ac:dyDescent="0.2">
      <c r="C31" t="s">
        <v>43</v>
      </c>
      <c r="D31" s="28"/>
      <c r="E31" s="140"/>
      <c r="F31" s="28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122"/>
      <c r="U31" s="123"/>
    </row>
    <row r="32" spans="2:21" ht="10" customHeight="1" x14ac:dyDescent="0.2">
      <c r="D32" s="28"/>
      <c r="E32" s="140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3:21" s="8" customFormat="1" ht="15" x14ac:dyDescent="0.2">
      <c r="C33" s="8" t="s">
        <v>17</v>
      </c>
      <c r="D33" s="87"/>
      <c r="E33" s="141"/>
      <c r="F33" s="9"/>
      <c r="G33" s="58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117"/>
    </row>
    <row r="34" spans="3:21" s="8" customFormat="1" ht="10" customHeight="1" x14ac:dyDescent="0.2">
      <c r="E34" s="1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17"/>
    </row>
    <row r="35" spans="3:21" s="8" customFormat="1" ht="15" customHeight="1" x14ac:dyDescent="0.2">
      <c r="C35" s="57" t="s">
        <v>46</v>
      </c>
      <c r="E35" s="1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17"/>
    </row>
    <row r="36" spans="3:21" ht="15" x14ac:dyDescent="0.2">
      <c r="C36" s="52" t="s">
        <v>19</v>
      </c>
      <c r="D36" s="7"/>
      <c r="E36" s="130"/>
      <c r="F36" s="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114"/>
    </row>
    <row r="37" spans="3:21" ht="15" x14ac:dyDescent="0.2">
      <c r="C37" s="55" t="s">
        <v>47</v>
      </c>
      <c r="D37" s="7"/>
      <c r="E37" s="130"/>
      <c r="F37" s="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114"/>
    </row>
    <row r="38" spans="3:21" ht="15" x14ac:dyDescent="0.2">
      <c r="C38" s="55" t="s">
        <v>48</v>
      </c>
      <c r="D38" s="7"/>
      <c r="E38" s="130"/>
      <c r="F38" s="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114"/>
    </row>
    <row r="39" spans="3:21" ht="15" x14ac:dyDescent="0.2">
      <c r="C39" s="104" t="s">
        <v>20</v>
      </c>
      <c r="D39" s="105"/>
      <c r="E39" s="131"/>
      <c r="F39" s="10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24"/>
    </row>
    <row r="40" spans="3:21" s="8" customFormat="1" ht="15" x14ac:dyDescent="0.2">
      <c r="C40" s="8" t="s">
        <v>26</v>
      </c>
      <c r="E40" s="132"/>
      <c r="F40" s="5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20"/>
    </row>
    <row r="41" spans="3:21" s="8" customFormat="1" ht="10" customHeight="1" x14ac:dyDescent="0.2">
      <c r="E41" s="132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20"/>
    </row>
    <row r="42" spans="3:21" s="8" customFormat="1" ht="15" x14ac:dyDescent="0.2">
      <c r="C42" s="57" t="s">
        <v>22</v>
      </c>
      <c r="E42" s="132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20"/>
    </row>
    <row r="43" spans="3:21" ht="15" x14ac:dyDescent="0.2">
      <c r="C43" s="52" t="s">
        <v>28</v>
      </c>
      <c r="D43" s="14"/>
      <c r="E43" s="130"/>
      <c r="F43" s="7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114"/>
    </row>
    <row r="44" spans="3:21" ht="15" x14ac:dyDescent="0.2">
      <c r="C44" s="104" t="s">
        <v>22</v>
      </c>
      <c r="D44" s="105"/>
      <c r="E44" s="131"/>
      <c r="F44" s="10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24"/>
    </row>
    <row r="45" spans="3:21" ht="10" customHeight="1" x14ac:dyDescent="0.2">
      <c r="D45" s="53"/>
      <c r="E45" s="13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4"/>
    </row>
    <row r="46" spans="3:21" ht="15" x14ac:dyDescent="0.2">
      <c r="C46" s="57" t="s">
        <v>49</v>
      </c>
      <c r="D46" s="53"/>
      <c r="E46" s="133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14"/>
    </row>
    <row r="47" spans="3:21" ht="15" x14ac:dyDescent="0.2">
      <c r="C47" s="52" t="s">
        <v>39</v>
      </c>
      <c r="D47" s="112"/>
      <c r="E47" s="130"/>
      <c r="F47" s="58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14"/>
    </row>
    <row r="48" spans="3:21" ht="15" x14ac:dyDescent="0.2">
      <c r="C48" s="52" t="s">
        <v>13</v>
      </c>
      <c r="D48" s="112"/>
      <c r="E48" s="130"/>
      <c r="F48" s="58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14"/>
    </row>
    <row r="49" spans="2:21" ht="15" x14ac:dyDescent="0.2">
      <c r="C49" s="52" t="s">
        <v>20</v>
      </c>
      <c r="D49" s="112"/>
      <c r="E49" s="130"/>
      <c r="F49" s="54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114"/>
    </row>
    <row r="50" spans="2:21" ht="15" x14ac:dyDescent="0.2">
      <c r="C50" s="52" t="s">
        <v>24</v>
      </c>
      <c r="D50" s="112"/>
      <c r="E50" s="130"/>
      <c r="F50" s="7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114"/>
    </row>
    <row r="51" spans="2:21" ht="15" x14ac:dyDescent="0.2">
      <c r="C51" s="69" t="s">
        <v>49</v>
      </c>
      <c r="D51" s="113"/>
      <c r="E51" s="134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125"/>
    </row>
    <row r="52" spans="2:21" ht="10" customHeight="1" x14ac:dyDescent="0.2">
      <c r="C52" s="22"/>
      <c r="D52" s="2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1" ht="15" x14ac:dyDescent="0.2">
      <c r="C53" s="12" t="s">
        <v>25</v>
      </c>
      <c r="D53" s="66" t="e">
        <f>IRR(F51:T51)</f>
        <v>#NUM!</v>
      </c>
      <c r="E53" s="14"/>
    </row>
    <row r="54" spans="2:21" ht="15" x14ac:dyDescent="0.2">
      <c r="C54" s="12" t="s">
        <v>29</v>
      </c>
      <c r="D54" s="67">
        <f>NPV($E$21,F51:T51)</f>
        <v>0</v>
      </c>
      <c r="E54" s="14"/>
    </row>
    <row r="55" spans="2:21" ht="10" customHeight="1" x14ac:dyDescent="0.2">
      <c r="B55" s="16"/>
      <c r="D55" s="20"/>
      <c r="E55" s="20"/>
    </row>
    <row r="56" spans="2:21" s="25" customFormat="1" ht="15" x14ac:dyDescent="0.2">
      <c r="B56" s="26" t="s">
        <v>41</v>
      </c>
      <c r="D56" s="27"/>
      <c r="E56" s="27"/>
    </row>
    <row r="57" spans="2:21" ht="15" x14ac:dyDescent="0.2">
      <c r="B57" s="4"/>
      <c r="C57" s="24" t="str">
        <f>C30</f>
        <v>Year</v>
      </c>
      <c r="D57" s="4"/>
      <c r="E57" s="139" t="s">
        <v>6</v>
      </c>
      <c r="F57" s="4">
        <f t="shared" ref="F57:T57" si="2">F30</f>
        <v>0</v>
      </c>
      <c r="G57" s="4">
        <f t="shared" si="2"/>
        <v>1</v>
      </c>
      <c r="H57" s="4">
        <f t="shared" si="2"/>
        <v>2</v>
      </c>
      <c r="I57" s="4">
        <f t="shared" si="2"/>
        <v>3</v>
      </c>
      <c r="J57" s="4">
        <f t="shared" si="2"/>
        <v>4</v>
      </c>
      <c r="K57" s="4">
        <f t="shared" si="2"/>
        <v>5</v>
      </c>
      <c r="L57" s="4">
        <f t="shared" si="2"/>
        <v>6</v>
      </c>
      <c r="M57" s="4">
        <f t="shared" si="2"/>
        <v>7</v>
      </c>
      <c r="N57" s="4">
        <f t="shared" si="2"/>
        <v>8</v>
      </c>
      <c r="O57" s="4">
        <f t="shared" si="2"/>
        <v>9</v>
      </c>
      <c r="P57" s="4">
        <f t="shared" si="2"/>
        <v>10</v>
      </c>
      <c r="Q57" s="4">
        <f t="shared" si="2"/>
        <v>11</v>
      </c>
      <c r="R57" s="4">
        <f t="shared" si="2"/>
        <v>12</v>
      </c>
      <c r="S57" s="4">
        <f t="shared" si="2"/>
        <v>13</v>
      </c>
      <c r="T57" s="4">
        <f t="shared" si="2"/>
        <v>14</v>
      </c>
      <c r="U57" s="28"/>
    </row>
    <row r="58" spans="2:21" ht="15" customHeight="1" x14ac:dyDescent="0.2">
      <c r="C58" t="s">
        <v>70</v>
      </c>
      <c r="D58" s="28"/>
      <c r="E58" s="140"/>
      <c r="F58" s="28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122"/>
      <c r="U58" s="123"/>
    </row>
    <row r="59" spans="2:21" ht="10" customHeight="1" x14ac:dyDescent="0.2">
      <c r="E59" s="132"/>
    </row>
    <row r="60" spans="2:21" ht="15" x14ac:dyDescent="0.2">
      <c r="C60" s="57" t="s">
        <v>56</v>
      </c>
      <c r="E60" s="132"/>
    </row>
    <row r="61" spans="2:21" ht="15" x14ac:dyDescent="0.2">
      <c r="C61" s="52" t="s">
        <v>20</v>
      </c>
      <c r="E61" s="130">
        <f>SUM(F61:T61)</f>
        <v>0</v>
      </c>
      <c r="F61" s="14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119"/>
      <c r="R61" s="119"/>
      <c r="S61" s="119"/>
      <c r="T61" s="119"/>
      <c r="U61" s="126"/>
    </row>
    <row r="62" spans="2:21" ht="15" x14ac:dyDescent="0.2">
      <c r="C62" s="52" t="s">
        <v>30</v>
      </c>
      <c r="E62" s="136">
        <f>SUM(F62:T62)</f>
        <v>0</v>
      </c>
      <c r="F62" s="14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119"/>
      <c r="R62" s="119"/>
      <c r="S62" s="119"/>
      <c r="T62" s="119"/>
      <c r="U62" s="126"/>
    </row>
    <row r="63" spans="2:21" ht="15" x14ac:dyDescent="0.2">
      <c r="C63" s="2" t="s">
        <v>50</v>
      </c>
      <c r="D63" s="2"/>
      <c r="E63" s="132"/>
      <c r="F63" s="13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4"/>
    </row>
    <row r="64" spans="2:21" ht="10" customHeight="1" x14ac:dyDescent="0.2">
      <c r="E64" s="132"/>
    </row>
    <row r="65" spans="3:21" ht="15" x14ac:dyDescent="0.2">
      <c r="C65" s="22" t="s">
        <v>33</v>
      </c>
      <c r="D65" s="22"/>
      <c r="E65" s="136">
        <f>SUM(F65:T65)</f>
        <v>0</v>
      </c>
      <c r="F65" s="23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14"/>
    </row>
    <row r="66" spans="3:21" s="8" customFormat="1" ht="15" x14ac:dyDescent="0.2">
      <c r="C66" s="83" t="s">
        <v>34</v>
      </c>
      <c r="D66" s="84"/>
      <c r="E66" s="137">
        <f t="shared" ref="E66:E68" si="3">SUM(F66:T66)</f>
        <v>0</v>
      </c>
      <c r="F66" s="85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71"/>
      <c r="R66" s="71"/>
      <c r="S66" s="71"/>
      <c r="T66" s="71"/>
      <c r="U66" s="121"/>
    </row>
    <row r="67" spans="3:21" s="8" customFormat="1" ht="15" x14ac:dyDescent="0.2">
      <c r="C67" s="83" t="s">
        <v>42</v>
      </c>
      <c r="E67" s="130">
        <f t="shared" si="3"/>
        <v>0</v>
      </c>
      <c r="F67" s="8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14"/>
    </row>
    <row r="68" spans="3:21" ht="15" x14ac:dyDescent="0.2">
      <c r="C68" s="2" t="s">
        <v>35</v>
      </c>
      <c r="D68" s="2"/>
      <c r="E68" s="128">
        <f t="shared" si="3"/>
        <v>0</v>
      </c>
      <c r="F68" s="127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114"/>
    </row>
    <row r="69" spans="3:21" s="8" customFormat="1" ht="15" x14ac:dyDescent="0.2">
      <c r="C69" s="8" t="s">
        <v>78</v>
      </c>
      <c r="E69" s="129"/>
      <c r="F69" s="115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8"/>
      <c r="R69" s="118"/>
      <c r="S69" s="118"/>
      <c r="T69" s="118"/>
      <c r="U69" s="118"/>
    </row>
    <row r="70" spans="3:21" ht="10" customHeight="1" x14ac:dyDescent="0.2">
      <c r="E70" s="132"/>
    </row>
    <row r="71" spans="3:21" ht="15" x14ac:dyDescent="0.2">
      <c r="C71" s="57" t="s">
        <v>54</v>
      </c>
      <c r="E71" s="132"/>
    </row>
    <row r="72" spans="3:21" ht="15" x14ac:dyDescent="0.2">
      <c r="C72" s="52" t="s">
        <v>39</v>
      </c>
      <c r="D72" s="14"/>
      <c r="E72" s="130">
        <f>SUM(F72:T72)</f>
        <v>0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14"/>
    </row>
    <row r="73" spans="3:21" ht="15" x14ac:dyDescent="0.2">
      <c r="C73" s="52" t="s">
        <v>13</v>
      </c>
      <c r="D73" s="14"/>
      <c r="E73" s="130">
        <f>SUM(F73:T73)</f>
        <v>0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14"/>
    </row>
    <row r="74" spans="3:21" ht="15" x14ac:dyDescent="0.2">
      <c r="C74" s="52" t="s">
        <v>55</v>
      </c>
      <c r="D74" s="14"/>
      <c r="E74" s="130">
        <f>SUM(F74:T74)</f>
        <v>0</v>
      </c>
      <c r="F74" s="127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14"/>
    </row>
    <row r="75" spans="3:21" ht="15" x14ac:dyDescent="0.2">
      <c r="C75" s="52" t="s">
        <v>20</v>
      </c>
      <c r="D75" s="14"/>
      <c r="E75" s="130">
        <f t="shared" ref="E75:E79" si="4">SUM(F75:T75)</f>
        <v>0</v>
      </c>
      <c r="F75" s="14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14"/>
    </row>
    <row r="76" spans="3:21" ht="15" x14ac:dyDescent="0.2">
      <c r="C76" s="52" t="s">
        <v>31</v>
      </c>
      <c r="D76" s="14"/>
      <c r="E76" s="130">
        <f t="shared" si="4"/>
        <v>0</v>
      </c>
      <c r="F76" s="14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14"/>
    </row>
    <row r="77" spans="3:21" ht="15" x14ac:dyDescent="0.2">
      <c r="C77" s="52" t="s">
        <v>24</v>
      </c>
      <c r="E77" s="130">
        <f t="shared" si="4"/>
        <v>0</v>
      </c>
      <c r="F77" s="14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14"/>
    </row>
    <row r="78" spans="3:21" ht="15" x14ac:dyDescent="0.2">
      <c r="C78" s="52" t="s">
        <v>38</v>
      </c>
      <c r="E78" s="130">
        <f t="shared" si="4"/>
        <v>0</v>
      </c>
      <c r="F78" s="14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14"/>
    </row>
    <row r="79" spans="3:21" ht="15" x14ac:dyDescent="0.2">
      <c r="C79" s="69" t="s">
        <v>49</v>
      </c>
      <c r="D79" s="75"/>
      <c r="E79" s="138">
        <f t="shared" si="4"/>
        <v>0</v>
      </c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125"/>
    </row>
    <row r="80" spans="3:21" ht="10" customHeight="1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2:20" ht="15" x14ac:dyDescent="0.2">
      <c r="C81" s="12" t="s">
        <v>40</v>
      </c>
      <c r="D81" s="66" t="e">
        <f>IRR(F79:T79)</f>
        <v>#NUM!</v>
      </c>
      <c r="E81" s="14"/>
    </row>
    <row r="82" spans="2:20" ht="15" x14ac:dyDescent="0.2">
      <c r="B82" s="16"/>
      <c r="C82" s="12" t="s">
        <v>29</v>
      </c>
      <c r="D82" s="67">
        <f>NPV($E$21,F79:T79)</f>
        <v>0</v>
      </c>
      <c r="E82" s="14"/>
    </row>
    <row r="83" spans="2:20" ht="15" x14ac:dyDescent="0.2"/>
    <row r="84" spans="2:20" s="25" customFormat="1" ht="15" x14ac:dyDescent="0.2">
      <c r="B84" s="26" t="s">
        <v>58</v>
      </c>
      <c r="D84" s="27"/>
    </row>
    <row r="85" spans="2:20" ht="15" x14ac:dyDescent="0.2">
      <c r="B85" s="4"/>
      <c r="C85" s="24" t="s">
        <v>67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 s="89" customFormat="1" ht="12" x14ac:dyDescent="0.15"/>
    <row r="87" spans="2:20" s="89" customFormat="1" ht="12" x14ac:dyDescent="0.15">
      <c r="C87" s="90" t="s">
        <v>60</v>
      </c>
    </row>
    <row r="88" spans="2:20" s="89" customFormat="1" ht="12" x14ac:dyDescent="0.15">
      <c r="C88" s="91" t="s">
        <v>61</v>
      </c>
      <c r="F88" s="92">
        <f t="shared" ref="F88:T88" si="5">G36/1000000</f>
        <v>0</v>
      </c>
      <c r="G88" s="92">
        <f t="shared" si="5"/>
        <v>0</v>
      </c>
      <c r="H88" s="92">
        <f t="shared" si="5"/>
        <v>0</v>
      </c>
      <c r="I88" s="92">
        <f t="shared" si="5"/>
        <v>0</v>
      </c>
      <c r="J88" s="92">
        <f t="shared" si="5"/>
        <v>0</v>
      </c>
      <c r="K88" s="92">
        <f t="shared" si="5"/>
        <v>0</v>
      </c>
      <c r="L88" s="92">
        <f t="shared" si="5"/>
        <v>0</v>
      </c>
      <c r="M88" s="92">
        <f t="shared" si="5"/>
        <v>0</v>
      </c>
      <c r="N88" s="92">
        <f t="shared" si="5"/>
        <v>0</v>
      </c>
      <c r="O88" s="92">
        <f t="shared" si="5"/>
        <v>0</v>
      </c>
      <c r="P88" s="92">
        <f t="shared" si="5"/>
        <v>0</v>
      </c>
      <c r="Q88" s="92">
        <f t="shared" si="5"/>
        <v>0</v>
      </c>
      <c r="R88" s="92">
        <f t="shared" si="5"/>
        <v>0</v>
      </c>
      <c r="S88" s="92">
        <f t="shared" si="5"/>
        <v>0</v>
      </c>
      <c r="T88" s="92">
        <f t="shared" si="5"/>
        <v>0</v>
      </c>
    </row>
    <row r="89" spans="2:20" s="89" customFormat="1" ht="12" x14ac:dyDescent="0.15">
      <c r="C89" s="91" t="s">
        <v>59</v>
      </c>
      <c r="F89" s="92">
        <f t="shared" ref="F89:T89" si="6">-SUM(G37:G38)/1000000</f>
        <v>0</v>
      </c>
      <c r="G89" s="92">
        <f t="shared" si="6"/>
        <v>0</v>
      </c>
      <c r="H89" s="92">
        <f t="shared" si="6"/>
        <v>0</v>
      </c>
      <c r="I89" s="92">
        <f t="shared" si="6"/>
        <v>0</v>
      </c>
      <c r="J89" s="92">
        <f t="shared" si="6"/>
        <v>0</v>
      </c>
      <c r="K89" s="92">
        <f t="shared" si="6"/>
        <v>0</v>
      </c>
      <c r="L89" s="92">
        <f t="shared" si="6"/>
        <v>0</v>
      </c>
      <c r="M89" s="92">
        <f t="shared" si="6"/>
        <v>0</v>
      </c>
      <c r="N89" s="92">
        <f t="shared" si="6"/>
        <v>0</v>
      </c>
      <c r="O89" s="92">
        <f t="shared" si="6"/>
        <v>0</v>
      </c>
      <c r="P89" s="92">
        <f t="shared" si="6"/>
        <v>0</v>
      </c>
      <c r="Q89" s="92">
        <f t="shared" si="6"/>
        <v>0</v>
      </c>
      <c r="R89" s="92">
        <f t="shared" si="6"/>
        <v>0</v>
      </c>
      <c r="S89" s="92">
        <f t="shared" si="6"/>
        <v>0</v>
      </c>
      <c r="T89" s="92">
        <f t="shared" si="6"/>
        <v>0</v>
      </c>
    </row>
    <row r="90" spans="2:20" s="89" customFormat="1" ht="12" x14ac:dyDescent="0.15">
      <c r="C90" s="91" t="s">
        <v>31</v>
      </c>
      <c r="F90" s="92">
        <f t="shared" ref="F90:T90" si="7">-G76/1000000</f>
        <v>0</v>
      </c>
      <c r="G90" s="92">
        <f t="shared" si="7"/>
        <v>0</v>
      </c>
      <c r="H90" s="92">
        <f t="shared" si="7"/>
        <v>0</v>
      </c>
      <c r="I90" s="92">
        <f t="shared" si="7"/>
        <v>0</v>
      </c>
      <c r="J90" s="92">
        <f t="shared" si="7"/>
        <v>0</v>
      </c>
      <c r="K90" s="92">
        <f t="shared" si="7"/>
        <v>0</v>
      </c>
      <c r="L90" s="92">
        <f t="shared" si="7"/>
        <v>0</v>
      </c>
      <c r="M90" s="92">
        <f t="shared" si="7"/>
        <v>0</v>
      </c>
      <c r="N90" s="92">
        <f t="shared" si="7"/>
        <v>0</v>
      </c>
      <c r="O90" s="92">
        <f t="shared" si="7"/>
        <v>0</v>
      </c>
      <c r="P90" s="92">
        <f t="shared" si="7"/>
        <v>0</v>
      </c>
      <c r="Q90" s="92">
        <f t="shared" si="7"/>
        <v>0</v>
      </c>
      <c r="R90" s="92">
        <f t="shared" si="7"/>
        <v>0</v>
      </c>
      <c r="S90" s="92">
        <f t="shared" si="7"/>
        <v>0</v>
      </c>
      <c r="T90" s="92">
        <f t="shared" si="7"/>
        <v>0</v>
      </c>
    </row>
    <row r="91" spans="2:20" s="89" customFormat="1" ht="12" x14ac:dyDescent="0.15">
      <c r="C91" s="91" t="s">
        <v>66</v>
      </c>
      <c r="F91" s="92">
        <f t="shared" ref="F91:T91" si="8">F88-F89-F90</f>
        <v>0</v>
      </c>
      <c r="G91" s="92">
        <f t="shared" si="8"/>
        <v>0</v>
      </c>
      <c r="H91" s="92">
        <f t="shared" si="8"/>
        <v>0</v>
      </c>
      <c r="I91" s="92">
        <f t="shared" si="8"/>
        <v>0</v>
      </c>
      <c r="J91" s="92">
        <f t="shared" si="8"/>
        <v>0</v>
      </c>
      <c r="K91" s="92">
        <f t="shared" si="8"/>
        <v>0</v>
      </c>
      <c r="L91" s="92">
        <f t="shared" si="8"/>
        <v>0</v>
      </c>
      <c r="M91" s="92">
        <f t="shared" si="8"/>
        <v>0</v>
      </c>
      <c r="N91" s="92">
        <f t="shared" si="8"/>
        <v>0</v>
      </c>
      <c r="O91" s="92">
        <f t="shared" si="8"/>
        <v>0</v>
      </c>
      <c r="P91" s="92">
        <f t="shared" si="8"/>
        <v>0</v>
      </c>
      <c r="Q91" s="92">
        <f t="shared" si="8"/>
        <v>0</v>
      </c>
      <c r="R91" s="92">
        <f t="shared" si="8"/>
        <v>0</v>
      </c>
      <c r="S91" s="92">
        <f t="shared" si="8"/>
        <v>0</v>
      </c>
      <c r="T91" s="92">
        <f t="shared" si="8"/>
        <v>0</v>
      </c>
    </row>
    <row r="92" spans="2:20" s="89" customFormat="1" ht="12" x14ac:dyDescent="0.15"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2:20" s="89" customFormat="1" ht="12" x14ac:dyDescent="0.15">
      <c r="C93" s="90" t="s">
        <v>62</v>
      </c>
      <c r="D93" s="94"/>
    </row>
    <row r="94" spans="2:20" s="89" customFormat="1" ht="12" x14ac:dyDescent="0.15">
      <c r="C94" s="91" t="s">
        <v>65</v>
      </c>
      <c r="D94" s="95">
        <f>-F47/1000000-D95</f>
        <v>0</v>
      </c>
    </row>
    <row r="95" spans="2:20" s="89" customFormat="1" ht="12" x14ac:dyDescent="0.15">
      <c r="C95" s="91" t="s">
        <v>56</v>
      </c>
      <c r="D95" s="95">
        <f>+F74/1000000</f>
        <v>0</v>
      </c>
    </row>
    <row r="96" spans="2:20" s="89" customFormat="1" ht="12" x14ac:dyDescent="0.15">
      <c r="C96" s="96" t="s">
        <v>6</v>
      </c>
      <c r="D96" s="97">
        <f>SUM(D94:D95)</f>
        <v>0</v>
      </c>
    </row>
    <row r="97" spans="3:4" ht="15" x14ac:dyDescent="0.2">
      <c r="C97" s="52"/>
      <c r="D97" s="60"/>
    </row>
    <row r="98" spans="3:4" ht="15" x14ac:dyDescent="0.2"/>
    <row r="99" spans="3:4" ht="15" hidden="1" x14ac:dyDescent="0.2"/>
    <row r="100" spans="3:4" ht="15" hidden="1" x14ac:dyDescent="0.2"/>
    <row r="101" spans="3:4" ht="15" hidden="1" x14ac:dyDescent="0.2"/>
    <row r="102" spans="3:4" ht="15" hidden="1" x14ac:dyDescent="0.2"/>
    <row r="103" spans="3:4" ht="15" hidden="1" x14ac:dyDescent="0.2"/>
    <row r="104" spans="3:4" ht="15" hidden="1" x14ac:dyDescent="0.2"/>
    <row r="105" spans="3:4" ht="15" hidden="1" x14ac:dyDescent="0.2"/>
    <row r="106" spans="3:4" ht="15" hidden="1" x14ac:dyDescent="0.2"/>
    <row r="107" spans="3:4" ht="15" hidden="1" x14ac:dyDescent="0.2"/>
    <row r="108" spans="3:4" ht="15" hidden="1" x14ac:dyDescent="0.2"/>
    <row r="109" spans="3:4" ht="15" hidden="1" x14ac:dyDescent="0.2"/>
    <row r="110" spans="3:4" ht="15" hidden="1" x14ac:dyDescent="0.2"/>
    <row r="111" spans="3:4" ht="15" hidden="1" x14ac:dyDescent="0.2"/>
    <row r="112" spans="3:4" ht="15" hidden="1" x14ac:dyDescent="0.2"/>
    <row r="113" ht="15" hidden="1" x14ac:dyDescent="0.2"/>
    <row r="114" ht="15" hidden="1" x14ac:dyDescent="0.2"/>
    <row r="115" ht="15" hidden="1" x14ac:dyDescent="0.2"/>
    <row r="116" ht="15" hidden="1" x14ac:dyDescent="0.2"/>
    <row r="117" ht="15" hidden="1" x14ac:dyDescent="0.2"/>
    <row r="118" ht="15" hidden="1" x14ac:dyDescent="0.2"/>
  </sheetData>
  <conditionalFormatting sqref="G31:U31">
    <cfRule type="colorScale" priority="2">
      <colorScale>
        <cfvo type="min"/>
        <cfvo type="max"/>
        <color theme="0" tint="-4.9989318521683403E-2"/>
        <color theme="9" tint="0.59999389629810485"/>
      </colorScale>
    </cfRule>
  </conditionalFormatting>
  <conditionalFormatting sqref="G58:U58">
    <cfRule type="colorScale" priority="1">
      <colorScale>
        <cfvo type="min"/>
        <cfvo type="max"/>
        <color theme="0" tint="-4.9989318521683403E-2"/>
        <color theme="9" tint="0.59999389629810485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6093-6ACB-4577-A712-69A7D0F17619}">
  <dimension ref="A1:AW118"/>
  <sheetViews>
    <sheetView showGridLines="0" topLeftCell="A62" zoomScale="85" zoomScaleNormal="85" workbookViewId="0">
      <selection activeCell="D83" sqref="D83"/>
    </sheetView>
  </sheetViews>
  <sheetFormatPr baseColWidth="10" defaultColWidth="0" defaultRowHeight="14.5" customHeight="1" zeroHeight="1" x14ac:dyDescent="0.2"/>
  <cols>
    <col min="1" max="1" width="2.33203125" customWidth="1"/>
    <col min="2" max="2" width="3.5" customWidth="1"/>
    <col min="3" max="3" width="23.33203125" bestFit="1" customWidth="1"/>
    <col min="4" max="4" width="15.6640625" customWidth="1"/>
    <col min="5" max="5" width="16.33203125" customWidth="1"/>
    <col min="6" max="6" width="15.33203125" customWidth="1"/>
    <col min="7" max="9" width="12.6640625" customWidth="1"/>
    <col min="10" max="10" width="13.33203125" customWidth="1"/>
    <col min="11" max="20" width="12.6640625" customWidth="1"/>
    <col min="21" max="21" width="2.5" customWidth="1"/>
    <col min="22" max="49" width="0" hidden="1" customWidth="1"/>
    <col min="50" max="16384" width="8.83203125" hidden="1"/>
  </cols>
  <sheetData>
    <row r="1" spans="2:20" ht="15" x14ac:dyDescent="0.2"/>
    <row r="2" spans="2:20" ht="26" x14ac:dyDescent="0.3">
      <c r="D2" s="1" t="s">
        <v>15</v>
      </c>
    </row>
    <row r="3" spans="2:20" ht="15" x14ac:dyDescent="0.2"/>
    <row r="4" spans="2:20" ht="15" x14ac:dyDescent="0.2">
      <c r="B4" s="29" t="s">
        <v>0</v>
      </c>
      <c r="C4" s="30"/>
      <c r="D4" s="31"/>
      <c r="E4" s="38"/>
      <c r="G4" s="29" t="s">
        <v>63</v>
      </c>
      <c r="H4" s="30"/>
      <c r="I4" s="62" t="s">
        <v>11</v>
      </c>
      <c r="J4" s="32" t="s">
        <v>6</v>
      </c>
      <c r="L4" s="29" t="s">
        <v>75</v>
      </c>
      <c r="M4" s="30"/>
      <c r="N4" s="30"/>
      <c r="O4" s="30"/>
      <c r="P4" s="30"/>
      <c r="Q4" s="30"/>
      <c r="R4" s="30"/>
      <c r="S4" s="30"/>
      <c r="T4" s="38"/>
    </row>
    <row r="5" spans="2:20" ht="15" customHeight="1" x14ac:dyDescent="0.2">
      <c r="B5" s="39"/>
      <c r="C5" s="5" t="s">
        <v>4</v>
      </c>
      <c r="E5" s="40">
        <v>150</v>
      </c>
      <c r="G5" s="33" t="s">
        <v>12</v>
      </c>
      <c r="H5" s="5"/>
      <c r="I5" s="63">
        <v>1</v>
      </c>
      <c r="J5" s="34">
        <f>$E$18*I5</f>
        <v>150000000</v>
      </c>
      <c r="L5" s="39" t="s">
        <v>71</v>
      </c>
      <c r="M5" s="100"/>
      <c r="N5" s="98">
        <f>$D$53</f>
        <v>0.11432053649067808</v>
      </c>
      <c r="O5" s="25"/>
      <c r="P5" s="25"/>
      <c r="Q5" s="25"/>
      <c r="R5" s="100" t="s">
        <v>73</v>
      </c>
      <c r="S5" s="100"/>
      <c r="T5" s="98" t="e">
        <f>$D$81</f>
        <v>#NUM!</v>
      </c>
    </row>
    <row r="6" spans="2:20" ht="15" customHeight="1" x14ac:dyDescent="0.2">
      <c r="B6" s="33"/>
      <c r="C6" s="5" t="s">
        <v>18</v>
      </c>
      <c r="E6" s="40">
        <v>2000</v>
      </c>
      <c r="G6" s="33" t="s">
        <v>13</v>
      </c>
      <c r="H6" s="5"/>
      <c r="I6" s="65">
        <v>0.3</v>
      </c>
      <c r="J6" s="34">
        <f>J5*I6</f>
        <v>45000000</v>
      </c>
      <c r="L6" s="101" t="s">
        <v>72</v>
      </c>
      <c r="M6" s="102"/>
      <c r="N6" s="99">
        <f>$D$54</f>
        <v>15161154.941106126</v>
      </c>
      <c r="O6" s="103"/>
      <c r="P6" s="103"/>
      <c r="Q6" s="103"/>
      <c r="R6" s="102" t="s">
        <v>74</v>
      </c>
      <c r="S6" s="102"/>
      <c r="T6" s="99">
        <f>$D$82</f>
        <v>0</v>
      </c>
    </row>
    <row r="7" spans="2:20" ht="15" customHeight="1" x14ac:dyDescent="0.2">
      <c r="B7" s="33"/>
      <c r="C7" s="5" t="s">
        <v>1</v>
      </c>
      <c r="E7" s="41">
        <v>5.0000000000000001E-3</v>
      </c>
      <c r="G7" s="33" t="s">
        <v>21</v>
      </c>
      <c r="H7" s="5"/>
      <c r="I7" s="65">
        <v>0.5</v>
      </c>
      <c r="J7" s="34">
        <f>J5-(I7*J6)</f>
        <v>127500000</v>
      </c>
    </row>
    <row r="8" spans="2:20" ht="15" customHeight="1" x14ac:dyDescent="0.2">
      <c r="B8" s="33"/>
      <c r="C8" s="5" t="s">
        <v>2</v>
      </c>
      <c r="E8" s="42">
        <v>75</v>
      </c>
      <c r="G8" s="35" t="s">
        <v>23</v>
      </c>
      <c r="H8" s="36"/>
      <c r="I8" s="64">
        <v>0.21</v>
      </c>
      <c r="J8" s="37"/>
    </row>
    <row r="9" spans="2:20" ht="15" customHeight="1" x14ac:dyDescent="0.2">
      <c r="B9" s="33"/>
      <c r="C9" s="111" t="s">
        <v>76</v>
      </c>
      <c r="D9" s="109"/>
      <c r="E9" s="42">
        <v>10000</v>
      </c>
      <c r="F9" s="108"/>
    </row>
    <row r="10" spans="2:20" ht="15" x14ac:dyDescent="0.2">
      <c r="B10" s="33"/>
      <c r="C10" s="111" t="s">
        <v>77</v>
      </c>
      <c r="D10" s="108"/>
      <c r="E10" s="42">
        <v>2000000</v>
      </c>
    </row>
    <row r="11" spans="2:20" ht="15" x14ac:dyDescent="0.2">
      <c r="B11" s="35"/>
      <c r="C11" s="36" t="s">
        <v>44</v>
      </c>
      <c r="D11" s="22"/>
      <c r="E11" s="43">
        <v>10</v>
      </c>
      <c r="G11" s="29" t="s">
        <v>56</v>
      </c>
      <c r="H11" s="30"/>
      <c r="I11" s="31"/>
      <c r="J11" s="32"/>
    </row>
    <row r="12" spans="2:20" ht="15" x14ac:dyDescent="0.2">
      <c r="G12" s="33" t="s">
        <v>36</v>
      </c>
      <c r="H12" s="5"/>
      <c r="J12" s="49">
        <v>0.05</v>
      </c>
    </row>
    <row r="13" spans="2:20" ht="15" x14ac:dyDescent="0.2">
      <c r="B13" s="29" t="s">
        <v>3</v>
      </c>
      <c r="C13" s="44"/>
      <c r="D13" s="31" t="s">
        <v>16</v>
      </c>
      <c r="E13" s="32" t="s">
        <v>6</v>
      </c>
      <c r="G13" s="33" t="s">
        <v>37</v>
      </c>
      <c r="H13" s="5"/>
      <c r="J13" s="50">
        <v>1.6</v>
      </c>
    </row>
    <row r="14" spans="2:20" ht="15" x14ac:dyDescent="0.2">
      <c r="B14" s="33"/>
      <c r="C14" s="5" t="s">
        <v>7</v>
      </c>
      <c r="D14" s="45">
        <v>0.35</v>
      </c>
      <c r="E14" s="46">
        <f>D14*$E$5*1000000</f>
        <v>52500000</v>
      </c>
      <c r="G14" s="35" t="s">
        <v>45</v>
      </c>
      <c r="H14" s="36"/>
      <c r="I14" s="22"/>
      <c r="J14" s="43">
        <v>10</v>
      </c>
    </row>
    <row r="15" spans="2:20" ht="15" x14ac:dyDescent="0.2">
      <c r="B15" s="33"/>
      <c r="C15" s="5" t="s">
        <v>5</v>
      </c>
      <c r="D15" s="45">
        <v>0.4</v>
      </c>
      <c r="E15" s="46">
        <f>D15*$E$5*1000000</f>
        <v>60000000</v>
      </c>
    </row>
    <row r="16" spans="2:20" ht="15" x14ac:dyDescent="0.2">
      <c r="B16" s="33"/>
      <c r="C16" s="5" t="s">
        <v>8</v>
      </c>
      <c r="D16" s="45">
        <v>0.1</v>
      </c>
      <c r="E16" s="46">
        <f>D16*$E$5*1000000</f>
        <v>15000000</v>
      </c>
      <c r="G16" s="29" t="s">
        <v>69</v>
      </c>
      <c r="H16" s="32"/>
    </row>
    <row r="17" spans="2:21" ht="15" x14ac:dyDescent="0.2">
      <c r="B17" s="33"/>
      <c r="C17" s="5" t="s">
        <v>9</v>
      </c>
      <c r="D17" s="45">
        <v>0.15</v>
      </c>
      <c r="E17" s="46">
        <f>D17*$E$5*1000000</f>
        <v>22500000</v>
      </c>
      <c r="G17" s="80" t="s">
        <v>51</v>
      </c>
      <c r="H17" s="77"/>
    </row>
    <row r="18" spans="2:21" ht="15" x14ac:dyDescent="0.2">
      <c r="B18" s="12"/>
      <c r="C18" s="47" t="s">
        <v>10</v>
      </c>
      <c r="D18" s="48">
        <f>SUM(D14:D17)</f>
        <v>1</v>
      </c>
      <c r="E18" s="18">
        <f>SUM(E14:E17)</f>
        <v>150000000</v>
      </c>
      <c r="G18" s="80" t="s">
        <v>52</v>
      </c>
      <c r="H18" s="78"/>
    </row>
    <row r="19" spans="2:21" ht="15" x14ac:dyDescent="0.2">
      <c r="D19" s="19"/>
      <c r="E19" s="20"/>
      <c r="G19" s="80" t="s">
        <v>53</v>
      </c>
      <c r="H19" s="79"/>
    </row>
    <row r="20" spans="2:21" ht="15" x14ac:dyDescent="0.2">
      <c r="B20" s="29" t="s">
        <v>64</v>
      </c>
      <c r="C20" s="30"/>
      <c r="D20" s="31"/>
      <c r="E20" s="32"/>
      <c r="G20" s="81" t="s">
        <v>68</v>
      </c>
      <c r="H20" s="68"/>
    </row>
    <row r="21" spans="2:21" ht="15" x14ac:dyDescent="0.2">
      <c r="B21" s="12" t="s">
        <v>57</v>
      </c>
      <c r="C21" s="47"/>
      <c r="D21" s="59"/>
      <c r="E21" s="61">
        <v>0.08</v>
      </c>
    </row>
    <row r="22" spans="2:21" ht="15" x14ac:dyDescent="0.2"/>
    <row r="23" spans="2:21" ht="15" x14ac:dyDescent="0.2">
      <c r="G23" s="108"/>
    </row>
    <row r="24" spans="2:21" ht="15" x14ac:dyDescent="0.2">
      <c r="D24" s="19"/>
      <c r="E24" s="20"/>
      <c r="G24" s="108"/>
    </row>
    <row r="25" spans="2:21" ht="15" x14ac:dyDescent="0.2">
      <c r="B25" s="25" t="s">
        <v>27</v>
      </c>
      <c r="D25" s="19"/>
      <c r="E25" s="20"/>
    </row>
    <row r="26" spans="2:21" ht="15" x14ac:dyDescent="0.2">
      <c r="B26" s="21"/>
      <c r="C26" s="3" t="s">
        <v>14</v>
      </c>
      <c r="D26" s="6"/>
      <c r="E26" s="6"/>
      <c r="F26" s="6">
        <v>0</v>
      </c>
      <c r="G26" s="6">
        <f>F26+1</f>
        <v>1</v>
      </c>
      <c r="H26" s="6">
        <f>G26+1</f>
        <v>2</v>
      </c>
      <c r="I26" s="6">
        <f t="shared" ref="I26:T26" si="0">H26+1</f>
        <v>3</v>
      </c>
      <c r="J26" s="6">
        <f t="shared" si="0"/>
        <v>4</v>
      </c>
      <c r="K26" s="6">
        <f t="shared" si="0"/>
        <v>5</v>
      </c>
      <c r="L26" s="6">
        <f t="shared" si="0"/>
        <v>6</v>
      </c>
      <c r="M26" s="6">
        <f t="shared" si="0"/>
        <v>7</v>
      </c>
      <c r="N26" s="6">
        <f t="shared" si="0"/>
        <v>8</v>
      </c>
      <c r="O26" s="6">
        <f t="shared" si="0"/>
        <v>9</v>
      </c>
      <c r="P26" s="6">
        <f t="shared" si="0"/>
        <v>10</v>
      </c>
      <c r="Q26" s="6">
        <f t="shared" si="0"/>
        <v>11</v>
      </c>
      <c r="R26" s="6">
        <f t="shared" si="0"/>
        <v>12</v>
      </c>
      <c r="S26" s="6">
        <f t="shared" si="0"/>
        <v>13</v>
      </c>
      <c r="T26" s="6">
        <f t="shared" si="0"/>
        <v>14</v>
      </c>
      <c r="U26" s="28"/>
    </row>
    <row r="27" spans="2:21" ht="15" x14ac:dyDescent="0.2">
      <c r="G27" s="110">
        <v>0.2</v>
      </c>
      <c r="H27" s="110">
        <v>0.32000000000000006</v>
      </c>
      <c r="I27" s="110">
        <v>0.192</v>
      </c>
      <c r="J27" s="110">
        <v>0.1152</v>
      </c>
      <c r="K27" s="110">
        <v>0.11519999999999998</v>
      </c>
      <c r="L27" s="110">
        <v>5.7599999999999991E-2</v>
      </c>
    </row>
    <row r="28" spans="2:21" ht="15" x14ac:dyDescent="0.2">
      <c r="D28" s="17"/>
      <c r="F28" s="51"/>
      <c r="G28" s="107"/>
      <c r="H28" s="51"/>
      <c r="I28" s="51"/>
      <c r="J28" s="51"/>
      <c r="K28" s="51"/>
    </row>
    <row r="29" spans="2:21" ht="15" x14ac:dyDescent="0.2">
      <c r="B29" s="25" t="s">
        <v>32</v>
      </c>
      <c r="C29" s="17"/>
      <c r="D29" s="17"/>
      <c r="E29" s="17"/>
      <c r="F29" s="17"/>
      <c r="G29" s="17"/>
      <c r="H29" s="17"/>
      <c r="I29" s="1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1" ht="15" x14ac:dyDescent="0.2">
      <c r="B30" s="13"/>
      <c r="C30" s="3" t="s">
        <v>14</v>
      </c>
      <c r="D30" s="4"/>
      <c r="E30" s="139" t="s">
        <v>6</v>
      </c>
      <c r="F30" s="4">
        <f t="shared" ref="F30:T30" si="1">F26</f>
        <v>0</v>
      </c>
      <c r="G30" s="4">
        <f t="shared" si="1"/>
        <v>1</v>
      </c>
      <c r="H30" s="4">
        <f t="shared" si="1"/>
        <v>2</v>
      </c>
      <c r="I30" s="4">
        <f t="shared" si="1"/>
        <v>3</v>
      </c>
      <c r="J30" s="4">
        <f t="shared" si="1"/>
        <v>4</v>
      </c>
      <c r="K30" s="4">
        <f t="shared" si="1"/>
        <v>5</v>
      </c>
      <c r="L30" s="4">
        <f t="shared" si="1"/>
        <v>6</v>
      </c>
      <c r="M30" s="4">
        <f t="shared" si="1"/>
        <v>7</v>
      </c>
      <c r="N30" s="4">
        <f t="shared" si="1"/>
        <v>8</v>
      </c>
      <c r="O30" s="4">
        <f t="shared" si="1"/>
        <v>9</v>
      </c>
      <c r="P30" s="4">
        <f t="shared" si="1"/>
        <v>10</v>
      </c>
      <c r="Q30" s="4">
        <f t="shared" si="1"/>
        <v>11</v>
      </c>
      <c r="R30" s="4">
        <f t="shared" si="1"/>
        <v>12</v>
      </c>
      <c r="S30" s="4">
        <f t="shared" si="1"/>
        <v>13</v>
      </c>
      <c r="T30" s="4">
        <f t="shared" si="1"/>
        <v>14</v>
      </c>
      <c r="U30" s="28"/>
    </row>
    <row r="31" spans="2:21" ht="15" x14ac:dyDescent="0.2">
      <c r="C31" t="s">
        <v>43</v>
      </c>
      <c r="D31" s="28"/>
      <c r="E31" s="140"/>
      <c r="F31" s="28"/>
      <c r="G31" s="82">
        <f t="shared" ref="G31:T31" si="2">IF(G$30&lt;=$E$11,1,0)</f>
        <v>1</v>
      </c>
      <c r="H31" s="82">
        <f t="shared" si="2"/>
        <v>1</v>
      </c>
      <c r="I31" s="82">
        <f t="shared" si="2"/>
        <v>1</v>
      </c>
      <c r="J31" s="82">
        <f t="shared" si="2"/>
        <v>1</v>
      </c>
      <c r="K31" s="82">
        <f t="shared" si="2"/>
        <v>1</v>
      </c>
      <c r="L31" s="82">
        <f t="shared" si="2"/>
        <v>1</v>
      </c>
      <c r="M31" s="82">
        <f t="shared" si="2"/>
        <v>1</v>
      </c>
      <c r="N31" s="82">
        <f t="shared" si="2"/>
        <v>1</v>
      </c>
      <c r="O31" s="82">
        <f t="shared" si="2"/>
        <v>1</v>
      </c>
      <c r="P31" s="82">
        <f t="shared" si="2"/>
        <v>1</v>
      </c>
      <c r="Q31" s="82">
        <f t="shared" si="2"/>
        <v>0</v>
      </c>
      <c r="R31" s="82">
        <f t="shared" si="2"/>
        <v>0</v>
      </c>
      <c r="S31" s="82">
        <f t="shared" si="2"/>
        <v>0</v>
      </c>
      <c r="T31" s="122">
        <f t="shared" si="2"/>
        <v>0</v>
      </c>
      <c r="U31" s="123"/>
    </row>
    <row r="32" spans="2:21" ht="10" customHeight="1" x14ac:dyDescent="0.2">
      <c r="D32" s="28"/>
      <c r="E32" s="140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3:21" s="8" customFormat="1" ht="15" x14ac:dyDescent="0.2">
      <c r="C33" s="8" t="s">
        <v>17</v>
      </c>
      <c r="D33" s="87"/>
      <c r="E33" s="141">
        <f>SUM(F33:T33)</f>
        <v>2933392.1720536863</v>
      </c>
      <c r="F33" s="9"/>
      <c r="G33" s="58">
        <f>$E$6*$E$5*$G31</f>
        <v>300000</v>
      </c>
      <c r="H33" s="70">
        <f>G33*(1-$E$7)*H$31</f>
        <v>298500</v>
      </c>
      <c r="I33" s="70">
        <f t="shared" ref="I33:T33" si="3">H33*(1-$E$7)*I$31</f>
        <v>297007.5</v>
      </c>
      <c r="J33" s="70">
        <f t="shared" si="3"/>
        <v>295522.46250000002</v>
      </c>
      <c r="K33" s="70">
        <f t="shared" si="3"/>
        <v>294044.85018750001</v>
      </c>
      <c r="L33" s="70">
        <f t="shared" si="3"/>
        <v>292574.62593656249</v>
      </c>
      <c r="M33" s="70">
        <f t="shared" si="3"/>
        <v>291111.7528068797</v>
      </c>
      <c r="N33" s="70">
        <f t="shared" si="3"/>
        <v>289656.19404284528</v>
      </c>
      <c r="O33" s="70">
        <f t="shared" si="3"/>
        <v>288207.91307263105</v>
      </c>
      <c r="P33" s="70">
        <f t="shared" si="3"/>
        <v>286766.87350726791</v>
      </c>
      <c r="Q33" s="70">
        <f t="shared" si="3"/>
        <v>0</v>
      </c>
      <c r="R33" s="70">
        <f t="shared" si="3"/>
        <v>0</v>
      </c>
      <c r="S33" s="70">
        <f t="shared" si="3"/>
        <v>0</v>
      </c>
      <c r="T33" s="70">
        <f t="shared" si="3"/>
        <v>0</v>
      </c>
      <c r="U33" s="117"/>
    </row>
    <row r="34" spans="3:21" s="8" customFormat="1" ht="10" customHeight="1" x14ac:dyDescent="0.2">
      <c r="E34" s="1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17"/>
    </row>
    <row r="35" spans="3:21" s="8" customFormat="1" ht="15" customHeight="1" x14ac:dyDescent="0.2">
      <c r="C35" s="57" t="s">
        <v>46</v>
      </c>
      <c r="E35" s="1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17"/>
    </row>
    <row r="36" spans="3:21" ht="15" x14ac:dyDescent="0.2">
      <c r="C36" s="52" t="s">
        <v>19</v>
      </c>
      <c r="D36" s="7"/>
      <c r="E36" s="130">
        <f t="shared" ref="E36:E39" si="4">SUM(F36:T36)</f>
        <v>220004412.90402648</v>
      </c>
      <c r="F36" s="7"/>
      <c r="G36" s="71">
        <f t="shared" ref="G36:T36" si="5">G33*$E$8*G$31</f>
        <v>22500000</v>
      </c>
      <c r="H36" s="71">
        <f t="shared" si="5"/>
        <v>22387500</v>
      </c>
      <c r="I36" s="71">
        <f t="shared" si="5"/>
        <v>22275562.5</v>
      </c>
      <c r="J36" s="71">
        <f t="shared" si="5"/>
        <v>22164184.6875</v>
      </c>
      <c r="K36" s="71">
        <f t="shared" si="5"/>
        <v>22053363.764062501</v>
      </c>
      <c r="L36" s="71">
        <f t="shared" si="5"/>
        <v>21943096.945242185</v>
      </c>
      <c r="M36" s="71">
        <f t="shared" si="5"/>
        <v>21833381.460515976</v>
      </c>
      <c r="N36" s="71">
        <f t="shared" si="5"/>
        <v>21724214.553213395</v>
      </c>
      <c r="O36" s="71">
        <f t="shared" si="5"/>
        <v>21615593.48044733</v>
      </c>
      <c r="P36" s="71">
        <f t="shared" si="5"/>
        <v>21507515.513045095</v>
      </c>
      <c r="Q36" s="71">
        <f t="shared" si="5"/>
        <v>0</v>
      </c>
      <c r="R36" s="71">
        <f t="shared" si="5"/>
        <v>0</v>
      </c>
      <c r="S36" s="71">
        <f t="shared" si="5"/>
        <v>0</v>
      </c>
      <c r="T36" s="71">
        <f t="shared" si="5"/>
        <v>0</v>
      </c>
      <c r="U36" s="114"/>
    </row>
    <row r="37" spans="3:21" ht="15" x14ac:dyDescent="0.2">
      <c r="C37" s="55" t="s">
        <v>47</v>
      </c>
      <c r="D37" s="7"/>
      <c r="E37" s="130">
        <f t="shared" si="4"/>
        <v>-15000000</v>
      </c>
      <c r="F37" s="7"/>
      <c r="G37" s="71">
        <f>-$E$9*$E$5*G$31</f>
        <v>-1500000</v>
      </c>
      <c r="H37" s="71">
        <f t="shared" ref="H37:T37" si="6">-$E$9*$E$5*H$31</f>
        <v>-1500000</v>
      </c>
      <c r="I37" s="71">
        <f t="shared" si="6"/>
        <v>-1500000</v>
      </c>
      <c r="J37" s="71">
        <f t="shared" si="6"/>
        <v>-1500000</v>
      </c>
      <c r="K37" s="71">
        <f t="shared" si="6"/>
        <v>-1500000</v>
      </c>
      <c r="L37" s="71">
        <f t="shared" si="6"/>
        <v>-1500000</v>
      </c>
      <c r="M37" s="71">
        <f t="shared" si="6"/>
        <v>-1500000</v>
      </c>
      <c r="N37" s="71">
        <f t="shared" si="6"/>
        <v>-1500000</v>
      </c>
      <c r="O37" s="71">
        <f t="shared" si="6"/>
        <v>-1500000</v>
      </c>
      <c r="P37" s="71">
        <f t="shared" si="6"/>
        <v>-1500000</v>
      </c>
      <c r="Q37" s="71">
        <f t="shared" si="6"/>
        <v>0</v>
      </c>
      <c r="R37" s="71">
        <f t="shared" si="6"/>
        <v>0</v>
      </c>
      <c r="S37" s="71">
        <f t="shared" si="6"/>
        <v>0</v>
      </c>
      <c r="T37" s="71">
        <f t="shared" si="6"/>
        <v>0</v>
      </c>
      <c r="U37" s="114"/>
    </row>
    <row r="38" spans="3:21" ht="15" x14ac:dyDescent="0.2">
      <c r="C38" s="55" t="s">
        <v>48</v>
      </c>
      <c r="D38" s="7"/>
      <c r="E38" s="130">
        <f t="shared" si="4"/>
        <v>-20000000</v>
      </c>
      <c r="F38" s="7"/>
      <c r="G38" s="71">
        <f t="shared" ref="G38:T38" si="7">-$E$10*G$31</f>
        <v>-2000000</v>
      </c>
      <c r="H38" s="71">
        <f t="shared" si="7"/>
        <v>-2000000</v>
      </c>
      <c r="I38" s="71">
        <f t="shared" si="7"/>
        <v>-2000000</v>
      </c>
      <c r="J38" s="71">
        <f t="shared" si="7"/>
        <v>-2000000</v>
      </c>
      <c r="K38" s="71">
        <f t="shared" si="7"/>
        <v>-2000000</v>
      </c>
      <c r="L38" s="71">
        <f t="shared" si="7"/>
        <v>-2000000</v>
      </c>
      <c r="M38" s="71">
        <f t="shared" si="7"/>
        <v>-2000000</v>
      </c>
      <c r="N38" s="71">
        <f t="shared" si="7"/>
        <v>-2000000</v>
      </c>
      <c r="O38" s="71">
        <f t="shared" si="7"/>
        <v>-2000000</v>
      </c>
      <c r="P38" s="71">
        <f t="shared" si="7"/>
        <v>-2000000</v>
      </c>
      <c r="Q38" s="71">
        <f t="shared" si="7"/>
        <v>0</v>
      </c>
      <c r="R38" s="71">
        <f t="shared" si="7"/>
        <v>0</v>
      </c>
      <c r="S38" s="71">
        <f t="shared" si="7"/>
        <v>0</v>
      </c>
      <c r="T38" s="71">
        <f t="shared" si="7"/>
        <v>0</v>
      </c>
      <c r="U38" s="114"/>
    </row>
    <row r="39" spans="3:21" ht="15" x14ac:dyDescent="0.2">
      <c r="C39" s="104" t="s">
        <v>20</v>
      </c>
      <c r="D39" s="105"/>
      <c r="E39" s="131">
        <f t="shared" si="4"/>
        <v>185004412.90402648</v>
      </c>
      <c r="F39" s="105"/>
      <c r="G39" s="106">
        <f t="shared" ref="G39:T39" si="8">SUM(G36:G38)</f>
        <v>19000000</v>
      </c>
      <c r="H39" s="106">
        <f t="shared" si="8"/>
        <v>18887500</v>
      </c>
      <c r="I39" s="106">
        <f t="shared" si="8"/>
        <v>18775562.5</v>
      </c>
      <c r="J39" s="106">
        <f t="shared" si="8"/>
        <v>18664184.6875</v>
      </c>
      <c r="K39" s="106">
        <f t="shared" si="8"/>
        <v>18553363.764062501</v>
      </c>
      <c r="L39" s="106">
        <f t="shared" si="8"/>
        <v>18443096.945242185</v>
      </c>
      <c r="M39" s="106">
        <f t="shared" si="8"/>
        <v>18333381.460515976</v>
      </c>
      <c r="N39" s="106">
        <f t="shared" si="8"/>
        <v>18224214.553213395</v>
      </c>
      <c r="O39" s="106">
        <f t="shared" si="8"/>
        <v>18115593.48044733</v>
      </c>
      <c r="P39" s="106">
        <f t="shared" si="8"/>
        <v>18007515.513045095</v>
      </c>
      <c r="Q39" s="106">
        <f t="shared" si="8"/>
        <v>0</v>
      </c>
      <c r="R39" s="106">
        <f t="shared" si="8"/>
        <v>0</v>
      </c>
      <c r="S39" s="106">
        <f t="shared" si="8"/>
        <v>0</v>
      </c>
      <c r="T39" s="106">
        <f t="shared" si="8"/>
        <v>0</v>
      </c>
      <c r="U39" s="124"/>
    </row>
    <row r="40" spans="3:21" s="8" customFormat="1" ht="15" x14ac:dyDescent="0.2">
      <c r="C40" s="8" t="s">
        <v>26</v>
      </c>
      <c r="E40" s="132"/>
      <c r="F40" s="56"/>
      <c r="G40" s="15">
        <f t="shared" ref="G40:T40" si="9">IFERROR(G39/G36,"-")</f>
        <v>0.84444444444444444</v>
      </c>
      <c r="H40" s="15">
        <f t="shared" si="9"/>
        <v>0.84366275823562253</v>
      </c>
      <c r="I40" s="15">
        <f t="shared" si="9"/>
        <v>0.84287714395539959</v>
      </c>
      <c r="J40" s="15">
        <f t="shared" si="9"/>
        <v>0.84208758186472321</v>
      </c>
      <c r="K40" s="15">
        <f t="shared" si="9"/>
        <v>0.84129405212534991</v>
      </c>
      <c r="L40" s="15">
        <f t="shared" si="9"/>
        <v>0.84049653479934661</v>
      </c>
      <c r="M40" s="15">
        <f t="shared" si="9"/>
        <v>0.83969500984858958</v>
      </c>
      <c r="N40" s="15">
        <f t="shared" si="9"/>
        <v>0.83888945713426089</v>
      </c>
      <c r="O40" s="15">
        <f t="shared" si="9"/>
        <v>0.83807985641634264</v>
      </c>
      <c r="P40" s="15">
        <f t="shared" si="9"/>
        <v>0.8372661873531082</v>
      </c>
      <c r="Q40" s="15" t="str">
        <f t="shared" si="9"/>
        <v>-</v>
      </c>
      <c r="R40" s="15" t="str">
        <f t="shared" si="9"/>
        <v>-</v>
      </c>
      <c r="S40" s="15" t="str">
        <f t="shared" si="9"/>
        <v>-</v>
      </c>
      <c r="T40" s="15" t="str">
        <f t="shared" si="9"/>
        <v>-</v>
      </c>
      <c r="U40" s="120"/>
    </row>
    <row r="41" spans="3:21" s="8" customFormat="1" ht="10" customHeight="1" x14ac:dyDescent="0.2">
      <c r="E41" s="132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20"/>
    </row>
    <row r="42" spans="3:21" s="8" customFormat="1" ht="15" x14ac:dyDescent="0.2">
      <c r="C42" s="57" t="s">
        <v>22</v>
      </c>
      <c r="E42" s="132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20"/>
    </row>
    <row r="43" spans="3:21" ht="15" x14ac:dyDescent="0.2">
      <c r="C43" s="52" t="s">
        <v>28</v>
      </c>
      <c r="D43" s="14"/>
      <c r="E43" s="130">
        <f t="shared" ref="E43:E44" si="10">SUM(F43:T43)</f>
        <v>-127500000</v>
      </c>
      <c r="F43" s="7"/>
      <c r="G43" s="71">
        <f t="shared" ref="G43:T43" si="11">-$J$7*G27</f>
        <v>-25500000</v>
      </c>
      <c r="H43" s="71">
        <f t="shared" si="11"/>
        <v>-40800000.000000007</v>
      </c>
      <c r="I43" s="71">
        <f t="shared" si="11"/>
        <v>-24480000</v>
      </c>
      <c r="J43" s="71">
        <f t="shared" si="11"/>
        <v>-14688000</v>
      </c>
      <c r="K43" s="71">
        <f t="shared" si="11"/>
        <v>-14687999.999999998</v>
      </c>
      <c r="L43" s="71">
        <f t="shared" si="11"/>
        <v>-7343999.9999999991</v>
      </c>
      <c r="M43" s="71">
        <f t="shared" si="11"/>
        <v>0</v>
      </c>
      <c r="N43" s="71">
        <f t="shared" si="11"/>
        <v>0</v>
      </c>
      <c r="O43" s="71">
        <f t="shared" si="11"/>
        <v>0</v>
      </c>
      <c r="P43" s="71">
        <f t="shared" si="11"/>
        <v>0</v>
      </c>
      <c r="Q43" s="71">
        <f t="shared" si="11"/>
        <v>0</v>
      </c>
      <c r="R43" s="71">
        <f t="shared" si="11"/>
        <v>0</v>
      </c>
      <c r="S43" s="71">
        <f t="shared" si="11"/>
        <v>0</v>
      </c>
      <c r="T43" s="71">
        <f t="shared" si="11"/>
        <v>0</v>
      </c>
      <c r="U43" s="114"/>
    </row>
    <row r="44" spans="3:21" ht="15" x14ac:dyDescent="0.2">
      <c r="C44" s="104" t="s">
        <v>22</v>
      </c>
      <c r="D44" s="105"/>
      <c r="E44" s="131">
        <f t="shared" si="10"/>
        <v>57504412.904026471</v>
      </c>
      <c r="F44" s="105"/>
      <c r="G44" s="106">
        <f>G43+G39</f>
        <v>-6500000</v>
      </c>
      <c r="H44" s="106">
        <f t="shared" ref="H44:T44" si="12">H43+H39</f>
        <v>-21912500.000000007</v>
      </c>
      <c r="I44" s="106">
        <f t="shared" si="12"/>
        <v>-5704437.5</v>
      </c>
      <c r="J44" s="106">
        <f t="shared" si="12"/>
        <v>3976184.6875</v>
      </c>
      <c r="K44" s="106">
        <f t="shared" si="12"/>
        <v>3865363.7640625034</v>
      </c>
      <c r="L44" s="106">
        <f t="shared" si="12"/>
        <v>11099096.945242185</v>
      </c>
      <c r="M44" s="106">
        <f t="shared" si="12"/>
        <v>18333381.460515976</v>
      </c>
      <c r="N44" s="106">
        <f t="shared" si="12"/>
        <v>18224214.553213395</v>
      </c>
      <c r="O44" s="106">
        <f t="shared" si="12"/>
        <v>18115593.48044733</v>
      </c>
      <c r="P44" s="106">
        <f t="shared" si="12"/>
        <v>18007515.513045095</v>
      </c>
      <c r="Q44" s="106">
        <f t="shared" si="12"/>
        <v>0</v>
      </c>
      <c r="R44" s="106">
        <f t="shared" si="12"/>
        <v>0</v>
      </c>
      <c r="S44" s="106">
        <f t="shared" si="12"/>
        <v>0</v>
      </c>
      <c r="T44" s="106">
        <f t="shared" si="12"/>
        <v>0</v>
      </c>
      <c r="U44" s="124"/>
    </row>
    <row r="45" spans="3:21" ht="10" customHeight="1" x14ac:dyDescent="0.2">
      <c r="D45" s="53"/>
      <c r="E45" s="13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4"/>
    </row>
    <row r="46" spans="3:21" ht="15" x14ac:dyDescent="0.2">
      <c r="C46" s="57" t="s">
        <v>49</v>
      </c>
      <c r="D46" s="53"/>
      <c r="E46" s="133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14"/>
    </row>
    <row r="47" spans="3:21" ht="15" x14ac:dyDescent="0.2">
      <c r="C47" s="52" t="s">
        <v>39</v>
      </c>
      <c r="D47" s="112"/>
      <c r="E47" s="130">
        <f>SUM(F47:T47)</f>
        <v>-150000000</v>
      </c>
      <c r="F47" s="58">
        <f>IF(F$30=0,-$E$18,0)</f>
        <v>-150000000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14"/>
    </row>
    <row r="48" spans="3:21" ht="15" x14ac:dyDescent="0.2">
      <c r="C48" s="52" t="s">
        <v>13</v>
      </c>
      <c r="D48" s="112"/>
      <c r="E48" s="130">
        <f>SUM(F48:T48)</f>
        <v>45000000</v>
      </c>
      <c r="F48" s="58">
        <f>IF(F$30=0,$J$6,0)</f>
        <v>45000000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14"/>
    </row>
    <row r="49" spans="2:21" ht="15" x14ac:dyDescent="0.2">
      <c r="C49" s="52" t="s">
        <v>20</v>
      </c>
      <c r="D49" s="112"/>
      <c r="E49" s="130">
        <f t="shared" ref="E49:E51" si="13">SUM(F49:T49)</f>
        <v>185004412.90402648</v>
      </c>
      <c r="F49" s="54"/>
      <c r="G49" s="72">
        <f t="shared" ref="G49:T49" si="14">G39</f>
        <v>19000000</v>
      </c>
      <c r="H49" s="72">
        <f t="shared" si="14"/>
        <v>18887500</v>
      </c>
      <c r="I49" s="72">
        <f t="shared" si="14"/>
        <v>18775562.5</v>
      </c>
      <c r="J49" s="72">
        <f t="shared" si="14"/>
        <v>18664184.6875</v>
      </c>
      <c r="K49" s="72">
        <f t="shared" si="14"/>
        <v>18553363.764062501</v>
      </c>
      <c r="L49" s="72">
        <f t="shared" si="14"/>
        <v>18443096.945242185</v>
      </c>
      <c r="M49" s="72">
        <f t="shared" si="14"/>
        <v>18333381.460515976</v>
      </c>
      <c r="N49" s="72">
        <f t="shared" si="14"/>
        <v>18224214.553213395</v>
      </c>
      <c r="O49" s="72">
        <f t="shared" si="14"/>
        <v>18115593.48044733</v>
      </c>
      <c r="P49" s="72">
        <f t="shared" si="14"/>
        <v>18007515.513045095</v>
      </c>
      <c r="Q49" s="72">
        <f t="shared" si="14"/>
        <v>0</v>
      </c>
      <c r="R49" s="72">
        <f t="shared" si="14"/>
        <v>0</v>
      </c>
      <c r="S49" s="72">
        <f t="shared" si="14"/>
        <v>0</v>
      </c>
      <c r="T49" s="72">
        <f t="shared" si="14"/>
        <v>0</v>
      </c>
      <c r="U49" s="114"/>
    </row>
    <row r="50" spans="2:21" ht="15" x14ac:dyDescent="0.2">
      <c r="C50" s="52" t="s">
        <v>24</v>
      </c>
      <c r="D50" s="112"/>
      <c r="E50" s="130">
        <f t="shared" si="13"/>
        <v>-12075926.70984556</v>
      </c>
      <c r="F50" s="7"/>
      <c r="G50" s="71">
        <f t="shared" ref="G50:T50" si="15">-$I$8*G44*G$31</f>
        <v>1365000</v>
      </c>
      <c r="H50" s="71">
        <f t="shared" si="15"/>
        <v>4601625.0000000009</v>
      </c>
      <c r="I50" s="71">
        <f t="shared" si="15"/>
        <v>1197931.875</v>
      </c>
      <c r="J50" s="71">
        <f t="shared" si="15"/>
        <v>-834998.78437499993</v>
      </c>
      <c r="K50" s="71">
        <f t="shared" si="15"/>
        <v>-811726.3904531257</v>
      </c>
      <c r="L50" s="71">
        <f t="shared" si="15"/>
        <v>-2330810.3585008588</v>
      </c>
      <c r="M50" s="71">
        <f t="shared" si="15"/>
        <v>-3850010.1067083548</v>
      </c>
      <c r="N50" s="71">
        <f t="shared" si="15"/>
        <v>-3827085.0561748128</v>
      </c>
      <c r="O50" s="71">
        <f t="shared" si="15"/>
        <v>-3804274.6308939392</v>
      </c>
      <c r="P50" s="71">
        <f t="shared" si="15"/>
        <v>-3781578.2577394699</v>
      </c>
      <c r="Q50" s="71">
        <f t="shared" si="15"/>
        <v>0</v>
      </c>
      <c r="R50" s="71">
        <f t="shared" si="15"/>
        <v>0</v>
      </c>
      <c r="S50" s="71">
        <f t="shared" si="15"/>
        <v>0</v>
      </c>
      <c r="T50" s="71">
        <f t="shared" si="15"/>
        <v>0</v>
      </c>
      <c r="U50" s="114"/>
    </row>
    <row r="51" spans="2:21" ht="15" x14ac:dyDescent="0.2">
      <c r="C51" s="69" t="s">
        <v>49</v>
      </c>
      <c r="D51" s="113"/>
      <c r="E51" s="134">
        <f t="shared" si="13"/>
        <v>67928486.194180921</v>
      </c>
      <c r="F51" s="76">
        <f>SUM(F47:F50)</f>
        <v>-105000000</v>
      </c>
      <c r="G51" s="76">
        <f t="shared" ref="G51:T51" si="16">SUM(G47:G50)</f>
        <v>20365000</v>
      </c>
      <c r="H51" s="76">
        <f t="shared" si="16"/>
        <v>23489125</v>
      </c>
      <c r="I51" s="76">
        <f t="shared" si="16"/>
        <v>19973494.375</v>
      </c>
      <c r="J51" s="76">
        <f t="shared" si="16"/>
        <v>17829185.903124999</v>
      </c>
      <c r="K51" s="76">
        <f t="shared" si="16"/>
        <v>17741637.373609375</v>
      </c>
      <c r="L51" s="76">
        <f t="shared" si="16"/>
        <v>16112286.586741326</v>
      </c>
      <c r="M51" s="76">
        <f t="shared" si="16"/>
        <v>14483371.353807621</v>
      </c>
      <c r="N51" s="76">
        <f t="shared" si="16"/>
        <v>14397129.497038582</v>
      </c>
      <c r="O51" s="76">
        <f t="shared" si="16"/>
        <v>14311318.849553391</v>
      </c>
      <c r="P51" s="76">
        <f t="shared" si="16"/>
        <v>14225937.255305625</v>
      </c>
      <c r="Q51" s="76">
        <f t="shared" si="16"/>
        <v>0</v>
      </c>
      <c r="R51" s="76">
        <f t="shared" si="16"/>
        <v>0</v>
      </c>
      <c r="S51" s="76">
        <f t="shared" si="16"/>
        <v>0</v>
      </c>
      <c r="T51" s="76">
        <f t="shared" si="16"/>
        <v>0</v>
      </c>
      <c r="U51" s="125"/>
    </row>
    <row r="52" spans="2:21" ht="10" customHeight="1" x14ac:dyDescent="0.2">
      <c r="C52" s="22"/>
      <c r="D52" s="2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1" ht="15" x14ac:dyDescent="0.2">
      <c r="C53" s="12" t="s">
        <v>25</v>
      </c>
      <c r="D53" s="66">
        <f>IRR(F51:T51)</f>
        <v>0.11432053649067808</v>
      </c>
      <c r="E53" s="14"/>
    </row>
    <row r="54" spans="2:21" ht="15" x14ac:dyDescent="0.2">
      <c r="C54" s="12" t="s">
        <v>29</v>
      </c>
      <c r="D54" s="67">
        <f>NPV($E$21,G51:T51)+F51</f>
        <v>15161154.941106126</v>
      </c>
      <c r="E54" s="14"/>
    </row>
    <row r="55" spans="2:21" ht="10" customHeight="1" x14ac:dyDescent="0.2">
      <c r="B55" s="16"/>
      <c r="D55" s="20"/>
      <c r="E55" s="20"/>
    </row>
    <row r="56" spans="2:21" s="25" customFormat="1" ht="15" x14ac:dyDescent="0.2">
      <c r="B56" s="26" t="s">
        <v>41</v>
      </c>
      <c r="D56" s="27"/>
      <c r="E56" s="27"/>
    </row>
    <row r="57" spans="2:21" ht="15" x14ac:dyDescent="0.2">
      <c r="B57" s="4"/>
      <c r="C57" s="24" t="str">
        <f>C30</f>
        <v>Year</v>
      </c>
      <c r="D57" s="4"/>
      <c r="E57" s="139" t="s">
        <v>6</v>
      </c>
      <c r="F57" s="4">
        <f t="shared" ref="F57:T57" si="17">F30</f>
        <v>0</v>
      </c>
      <c r="G57" s="4">
        <f t="shared" si="17"/>
        <v>1</v>
      </c>
      <c r="H57" s="4">
        <f t="shared" si="17"/>
        <v>2</v>
      </c>
      <c r="I57" s="4">
        <f t="shared" si="17"/>
        <v>3</v>
      </c>
      <c r="J57" s="4">
        <f t="shared" si="17"/>
        <v>4</v>
      </c>
      <c r="K57" s="4">
        <f t="shared" si="17"/>
        <v>5</v>
      </c>
      <c r="L57" s="4">
        <f t="shared" si="17"/>
        <v>6</v>
      </c>
      <c r="M57" s="4">
        <f t="shared" si="17"/>
        <v>7</v>
      </c>
      <c r="N57" s="4">
        <f t="shared" si="17"/>
        <v>8</v>
      </c>
      <c r="O57" s="4">
        <f t="shared" si="17"/>
        <v>9</v>
      </c>
      <c r="P57" s="4">
        <f t="shared" si="17"/>
        <v>10</v>
      </c>
      <c r="Q57" s="4">
        <f t="shared" si="17"/>
        <v>11</v>
      </c>
      <c r="R57" s="4">
        <f t="shared" si="17"/>
        <v>12</v>
      </c>
      <c r="S57" s="4">
        <f t="shared" si="17"/>
        <v>13</v>
      </c>
      <c r="T57" s="4">
        <f t="shared" si="17"/>
        <v>14</v>
      </c>
      <c r="U57" s="28"/>
    </row>
    <row r="58" spans="2:21" ht="15" customHeight="1" x14ac:dyDescent="0.2">
      <c r="C58" t="s">
        <v>70</v>
      </c>
      <c r="D58" s="28"/>
      <c r="E58" s="140"/>
      <c r="F58" s="28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122"/>
      <c r="U58" s="123"/>
    </row>
    <row r="59" spans="2:21" ht="10" customHeight="1" x14ac:dyDescent="0.2">
      <c r="E59" s="132"/>
    </row>
    <row r="60" spans="2:21" ht="15" x14ac:dyDescent="0.2">
      <c r="C60" s="57" t="s">
        <v>56</v>
      </c>
      <c r="E60" s="132"/>
    </row>
    <row r="61" spans="2:21" ht="15" x14ac:dyDescent="0.2">
      <c r="C61" s="52" t="s">
        <v>20</v>
      </c>
      <c r="E61" s="130">
        <f>SUM(F61:T61)</f>
        <v>0</v>
      </c>
      <c r="F61" s="14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119"/>
      <c r="R61" s="119"/>
      <c r="S61" s="119"/>
      <c r="T61" s="119"/>
      <c r="U61" s="126"/>
    </row>
    <row r="62" spans="2:21" ht="15" x14ac:dyDescent="0.2">
      <c r="C62" s="52" t="s">
        <v>30</v>
      </c>
      <c r="E62" s="136">
        <f>SUM(F62:T62)</f>
        <v>0</v>
      </c>
      <c r="F62" s="14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119"/>
      <c r="R62" s="119"/>
      <c r="S62" s="119"/>
      <c r="T62" s="119"/>
      <c r="U62" s="126"/>
    </row>
    <row r="63" spans="2:21" ht="15" x14ac:dyDescent="0.2">
      <c r="C63" s="2" t="s">
        <v>50</v>
      </c>
      <c r="D63" s="2"/>
      <c r="E63" s="132"/>
      <c r="F63" s="13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4"/>
    </row>
    <row r="64" spans="2:21" ht="10" customHeight="1" x14ac:dyDescent="0.2">
      <c r="E64" s="132"/>
    </row>
    <row r="65" spans="3:21" ht="15" x14ac:dyDescent="0.2">
      <c r="C65" s="22" t="s">
        <v>33</v>
      </c>
      <c r="D65" s="22"/>
      <c r="E65" s="136">
        <f>SUM(F65:T65)</f>
        <v>0</v>
      </c>
      <c r="F65" s="23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14"/>
    </row>
    <row r="66" spans="3:21" s="8" customFormat="1" ht="15" x14ac:dyDescent="0.2">
      <c r="C66" s="83" t="s">
        <v>34</v>
      </c>
      <c r="D66" s="84"/>
      <c r="E66" s="137">
        <f t="shared" ref="E66:E68" si="18">SUM(F66:T66)</f>
        <v>0</v>
      </c>
      <c r="F66" s="85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71"/>
      <c r="R66" s="71"/>
      <c r="S66" s="71"/>
      <c r="T66" s="71"/>
      <c r="U66" s="121"/>
    </row>
    <row r="67" spans="3:21" s="8" customFormat="1" ht="15" x14ac:dyDescent="0.2">
      <c r="C67" s="83" t="s">
        <v>42</v>
      </c>
      <c r="E67" s="130">
        <f t="shared" si="18"/>
        <v>0</v>
      </c>
      <c r="F67" s="8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14"/>
    </row>
    <row r="68" spans="3:21" ht="15" x14ac:dyDescent="0.2">
      <c r="C68" s="2" t="s">
        <v>35</v>
      </c>
      <c r="D68" s="2"/>
      <c r="E68" s="128">
        <f t="shared" si="18"/>
        <v>0</v>
      </c>
      <c r="F68" s="127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114"/>
    </row>
    <row r="69" spans="3:21" s="8" customFormat="1" ht="15" x14ac:dyDescent="0.2">
      <c r="C69" s="8" t="s">
        <v>78</v>
      </c>
      <c r="E69" s="129"/>
      <c r="F69" s="115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8"/>
      <c r="R69" s="118"/>
      <c r="S69" s="118"/>
      <c r="T69" s="118"/>
      <c r="U69" s="118"/>
    </row>
    <row r="70" spans="3:21" ht="10" customHeight="1" x14ac:dyDescent="0.2">
      <c r="E70" s="132"/>
    </row>
    <row r="71" spans="3:21" ht="15" x14ac:dyDescent="0.2">
      <c r="C71" s="57" t="s">
        <v>54</v>
      </c>
      <c r="E71" s="132"/>
    </row>
    <row r="72" spans="3:21" ht="15" x14ac:dyDescent="0.2">
      <c r="C72" s="52" t="s">
        <v>39</v>
      </c>
      <c r="D72" s="14"/>
      <c r="E72" s="130">
        <f>SUM(F72:T72)</f>
        <v>0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14"/>
    </row>
    <row r="73" spans="3:21" ht="15" x14ac:dyDescent="0.2">
      <c r="C73" s="52" t="s">
        <v>13</v>
      </c>
      <c r="D73" s="14"/>
      <c r="E73" s="130">
        <f>SUM(F73:T73)</f>
        <v>0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14"/>
    </row>
    <row r="74" spans="3:21" ht="15" x14ac:dyDescent="0.2">
      <c r="C74" s="52" t="s">
        <v>55</v>
      </c>
      <c r="D74" s="14"/>
      <c r="E74" s="130">
        <f>SUM(F74:T74)</f>
        <v>0</v>
      </c>
      <c r="F74" s="127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14"/>
    </row>
    <row r="75" spans="3:21" ht="15" x14ac:dyDescent="0.2">
      <c r="C75" s="52" t="s">
        <v>20</v>
      </c>
      <c r="D75" s="14"/>
      <c r="E75" s="130">
        <f t="shared" ref="E75:E79" si="19">SUM(F75:T75)</f>
        <v>0</v>
      </c>
      <c r="F75" s="14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14"/>
    </row>
    <row r="76" spans="3:21" ht="15" x14ac:dyDescent="0.2">
      <c r="C76" s="52" t="s">
        <v>31</v>
      </c>
      <c r="D76" s="14"/>
      <c r="E76" s="130">
        <f t="shared" si="19"/>
        <v>0</v>
      </c>
      <c r="F76" s="14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14"/>
    </row>
    <row r="77" spans="3:21" ht="15" x14ac:dyDescent="0.2">
      <c r="C77" s="52" t="s">
        <v>24</v>
      </c>
      <c r="E77" s="130">
        <f t="shared" si="19"/>
        <v>0</v>
      </c>
      <c r="F77" s="14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14"/>
    </row>
    <row r="78" spans="3:21" ht="15" x14ac:dyDescent="0.2">
      <c r="C78" s="52" t="s">
        <v>38</v>
      </c>
      <c r="E78" s="130">
        <f t="shared" si="19"/>
        <v>0</v>
      </c>
      <c r="F78" s="14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14"/>
    </row>
    <row r="79" spans="3:21" ht="15" x14ac:dyDescent="0.2">
      <c r="C79" s="69" t="s">
        <v>49</v>
      </c>
      <c r="D79" s="75"/>
      <c r="E79" s="138">
        <f t="shared" si="19"/>
        <v>0</v>
      </c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125"/>
    </row>
    <row r="80" spans="3:21" ht="10" customHeight="1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2:20" ht="15" x14ac:dyDescent="0.2">
      <c r="C81" s="12" t="s">
        <v>40</v>
      </c>
      <c r="D81" s="66" t="e">
        <f>IRR(F79:T79)</f>
        <v>#NUM!</v>
      </c>
      <c r="E81" s="14"/>
    </row>
    <row r="82" spans="2:20" ht="15" x14ac:dyDescent="0.2">
      <c r="B82" s="16"/>
      <c r="C82" s="12" t="s">
        <v>29</v>
      </c>
      <c r="D82" s="67">
        <f>NPV($E$21,G79:T79)+F79</f>
        <v>0</v>
      </c>
      <c r="E82" s="14"/>
    </row>
    <row r="83" spans="2:20" ht="15" x14ac:dyDescent="0.2"/>
    <row r="84" spans="2:20" s="25" customFormat="1" ht="15" x14ac:dyDescent="0.2">
      <c r="B84" s="26" t="s">
        <v>58</v>
      </c>
      <c r="D84" s="27"/>
    </row>
    <row r="85" spans="2:20" ht="15" x14ac:dyDescent="0.2">
      <c r="B85" s="4"/>
      <c r="C85" s="24" t="s">
        <v>67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 s="89" customFormat="1" ht="12" x14ac:dyDescent="0.15"/>
    <row r="87" spans="2:20" s="89" customFormat="1" ht="12" x14ac:dyDescent="0.15">
      <c r="C87" s="90" t="s">
        <v>60</v>
      </c>
    </row>
    <row r="88" spans="2:20" s="89" customFormat="1" ht="12" x14ac:dyDescent="0.15">
      <c r="C88" s="91" t="s">
        <v>61</v>
      </c>
      <c r="F88" s="92">
        <f t="shared" ref="F88:T88" si="20">G36/1000000</f>
        <v>22.5</v>
      </c>
      <c r="G88" s="92">
        <f t="shared" si="20"/>
        <v>22.387499999999999</v>
      </c>
      <c r="H88" s="92">
        <f t="shared" si="20"/>
        <v>22.275562499999999</v>
      </c>
      <c r="I88" s="92">
        <f t="shared" si="20"/>
        <v>22.164184687500001</v>
      </c>
      <c r="J88" s="92">
        <f t="shared" si="20"/>
        <v>22.053363764062503</v>
      </c>
      <c r="K88" s="92">
        <f t="shared" si="20"/>
        <v>21.943096945242186</v>
      </c>
      <c r="L88" s="92">
        <f t="shared" si="20"/>
        <v>21.833381460515977</v>
      </c>
      <c r="M88" s="92">
        <f t="shared" si="20"/>
        <v>21.724214553213397</v>
      </c>
      <c r="N88" s="92">
        <f t="shared" si="20"/>
        <v>21.61559348044733</v>
      </c>
      <c r="O88" s="92">
        <f t="shared" si="20"/>
        <v>21.507515513045096</v>
      </c>
      <c r="P88" s="92">
        <f t="shared" si="20"/>
        <v>0</v>
      </c>
      <c r="Q88" s="92">
        <f t="shared" si="20"/>
        <v>0</v>
      </c>
      <c r="R88" s="92">
        <f t="shared" si="20"/>
        <v>0</v>
      </c>
      <c r="S88" s="92">
        <f t="shared" si="20"/>
        <v>0</v>
      </c>
      <c r="T88" s="92">
        <f t="shared" si="20"/>
        <v>0</v>
      </c>
    </row>
    <row r="89" spans="2:20" s="89" customFormat="1" ht="12" x14ac:dyDescent="0.15">
      <c r="C89" s="91" t="s">
        <v>59</v>
      </c>
      <c r="F89" s="92">
        <f t="shared" ref="F89:T89" si="21">-SUM(G37:G38)/1000000</f>
        <v>3.5</v>
      </c>
      <c r="G89" s="92">
        <f t="shared" si="21"/>
        <v>3.5</v>
      </c>
      <c r="H89" s="92">
        <f t="shared" si="21"/>
        <v>3.5</v>
      </c>
      <c r="I89" s="92">
        <f t="shared" si="21"/>
        <v>3.5</v>
      </c>
      <c r="J89" s="92">
        <f t="shared" si="21"/>
        <v>3.5</v>
      </c>
      <c r="K89" s="92">
        <f t="shared" si="21"/>
        <v>3.5</v>
      </c>
      <c r="L89" s="92">
        <f t="shared" si="21"/>
        <v>3.5</v>
      </c>
      <c r="M89" s="92">
        <f t="shared" si="21"/>
        <v>3.5</v>
      </c>
      <c r="N89" s="92">
        <f t="shared" si="21"/>
        <v>3.5</v>
      </c>
      <c r="O89" s="92">
        <f t="shared" si="21"/>
        <v>3.5</v>
      </c>
      <c r="P89" s="92">
        <f t="shared" si="21"/>
        <v>0</v>
      </c>
      <c r="Q89" s="92">
        <f t="shared" si="21"/>
        <v>0</v>
      </c>
      <c r="R89" s="92">
        <f t="shared" si="21"/>
        <v>0</v>
      </c>
      <c r="S89" s="92">
        <f t="shared" si="21"/>
        <v>0</v>
      </c>
      <c r="T89" s="92">
        <f t="shared" si="21"/>
        <v>0</v>
      </c>
    </row>
    <row r="90" spans="2:20" s="89" customFormat="1" ht="12" x14ac:dyDescent="0.15">
      <c r="C90" s="91" t="s">
        <v>31</v>
      </c>
      <c r="F90" s="92">
        <f t="shared" ref="F90:T90" si="22">-G76/1000000</f>
        <v>0</v>
      </c>
      <c r="G90" s="92">
        <f t="shared" si="22"/>
        <v>0</v>
      </c>
      <c r="H90" s="92">
        <f t="shared" si="22"/>
        <v>0</v>
      </c>
      <c r="I90" s="92">
        <f t="shared" si="22"/>
        <v>0</v>
      </c>
      <c r="J90" s="92">
        <f t="shared" si="22"/>
        <v>0</v>
      </c>
      <c r="K90" s="92">
        <f t="shared" si="22"/>
        <v>0</v>
      </c>
      <c r="L90" s="92">
        <f t="shared" si="22"/>
        <v>0</v>
      </c>
      <c r="M90" s="92">
        <f t="shared" si="22"/>
        <v>0</v>
      </c>
      <c r="N90" s="92">
        <f t="shared" si="22"/>
        <v>0</v>
      </c>
      <c r="O90" s="92">
        <f t="shared" si="22"/>
        <v>0</v>
      </c>
      <c r="P90" s="92">
        <f t="shared" si="22"/>
        <v>0</v>
      </c>
      <c r="Q90" s="92">
        <f t="shared" si="22"/>
        <v>0</v>
      </c>
      <c r="R90" s="92">
        <f t="shared" si="22"/>
        <v>0</v>
      </c>
      <c r="S90" s="92">
        <f t="shared" si="22"/>
        <v>0</v>
      </c>
      <c r="T90" s="92">
        <f t="shared" si="22"/>
        <v>0</v>
      </c>
    </row>
    <row r="91" spans="2:20" s="89" customFormat="1" ht="12" x14ac:dyDescent="0.15">
      <c r="C91" s="91" t="s">
        <v>66</v>
      </c>
      <c r="F91" s="92">
        <f t="shared" ref="F91:T91" si="23">F88-F89-F90</f>
        <v>19</v>
      </c>
      <c r="G91" s="92">
        <f t="shared" si="23"/>
        <v>18.887499999999999</v>
      </c>
      <c r="H91" s="92">
        <f t="shared" si="23"/>
        <v>18.775562499999999</v>
      </c>
      <c r="I91" s="92">
        <f t="shared" si="23"/>
        <v>18.664184687500001</v>
      </c>
      <c r="J91" s="92">
        <f t="shared" si="23"/>
        <v>18.553363764062503</v>
      </c>
      <c r="K91" s="92">
        <f t="shared" si="23"/>
        <v>18.443096945242186</v>
      </c>
      <c r="L91" s="92">
        <f t="shared" si="23"/>
        <v>18.333381460515977</v>
      </c>
      <c r="M91" s="92">
        <f t="shared" si="23"/>
        <v>18.224214553213397</v>
      </c>
      <c r="N91" s="92">
        <f t="shared" si="23"/>
        <v>18.11559348044733</v>
      </c>
      <c r="O91" s="92">
        <f t="shared" si="23"/>
        <v>18.007515513045096</v>
      </c>
      <c r="P91" s="92">
        <f t="shared" si="23"/>
        <v>0</v>
      </c>
      <c r="Q91" s="92">
        <f t="shared" si="23"/>
        <v>0</v>
      </c>
      <c r="R91" s="92">
        <f t="shared" si="23"/>
        <v>0</v>
      </c>
      <c r="S91" s="92">
        <f t="shared" si="23"/>
        <v>0</v>
      </c>
      <c r="T91" s="92">
        <f t="shared" si="23"/>
        <v>0</v>
      </c>
    </row>
    <row r="92" spans="2:20" s="89" customFormat="1" ht="12" x14ac:dyDescent="0.15"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2:20" s="89" customFormat="1" ht="12" x14ac:dyDescent="0.15">
      <c r="C93" s="90" t="s">
        <v>62</v>
      </c>
      <c r="D93" s="94"/>
    </row>
    <row r="94" spans="2:20" s="89" customFormat="1" ht="12" x14ac:dyDescent="0.15">
      <c r="C94" s="91" t="s">
        <v>65</v>
      </c>
      <c r="D94" s="95">
        <f>-F47/1000000-D95</f>
        <v>150</v>
      </c>
    </row>
    <row r="95" spans="2:20" s="89" customFormat="1" ht="12" x14ac:dyDescent="0.15">
      <c r="C95" s="91" t="s">
        <v>56</v>
      </c>
      <c r="D95" s="95">
        <f>+F74/1000000</f>
        <v>0</v>
      </c>
    </row>
    <row r="96" spans="2:20" s="89" customFormat="1" ht="12" x14ac:dyDescent="0.15">
      <c r="C96" s="96" t="s">
        <v>6</v>
      </c>
      <c r="D96" s="97">
        <f>SUM(D94:D95)</f>
        <v>150</v>
      </c>
    </row>
    <row r="97" spans="3:4" ht="15" x14ac:dyDescent="0.2">
      <c r="C97" s="52"/>
      <c r="D97" s="60"/>
    </row>
    <row r="98" spans="3:4" ht="15" x14ac:dyDescent="0.2"/>
    <row r="99" spans="3:4" ht="15" hidden="1" x14ac:dyDescent="0.2"/>
    <row r="100" spans="3:4" ht="15" hidden="1" x14ac:dyDescent="0.2"/>
    <row r="101" spans="3:4" ht="15" hidden="1" x14ac:dyDescent="0.2"/>
    <row r="102" spans="3:4" ht="15" hidden="1" x14ac:dyDescent="0.2"/>
    <row r="103" spans="3:4" ht="15" hidden="1" x14ac:dyDescent="0.2"/>
    <row r="104" spans="3:4" ht="15" hidden="1" x14ac:dyDescent="0.2"/>
    <row r="105" spans="3:4" ht="15" hidden="1" x14ac:dyDescent="0.2"/>
    <row r="106" spans="3:4" ht="15" hidden="1" x14ac:dyDescent="0.2"/>
    <row r="107" spans="3:4" ht="15" hidden="1" x14ac:dyDescent="0.2"/>
    <row r="108" spans="3:4" ht="15" hidden="1" x14ac:dyDescent="0.2"/>
    <row r="109" spans="3:4" ht="15" hidden="1" x14ac:dyDescent="0.2"/>
    <row r="110" spans="3:4" ht="15" hidden="1" x14ac:dyDescent="0.2"/>
    <row r="111" spans="3:4" ht="15" hidden="1" x14ac:dyDescent="0.2"/>
    <row r="112" spans="3:4" ht="15" hidden="1" x14ac:dyDescent="0.2"/>
    <row r="113" ht="15" hidden="1" x14ac:dyDescent="0.2"/>
    <row r="114" ht="15" hidden="1" x14ac:dyDescent="0.2"/>
    <row r="115" ht="15" hidden="1" x14ac:dyDescent="0.2"/>
    <row r="116" ht="15" hidden="1" x14ac:dyDescent="0.2"/>
    <row r="117" ht="15" hidden="1" x14ac:dyDescent="0.2"/>
    <row r="118" ht="15" hidden="1" x14ac:dyDescent="0.2"/>
  </sheetData>
  <conditionalFormatting sqref="G31:U31">
    <cfRule type="colorScale" priority="2">
      <colorScale>
        <cfvo type="min"/>
        <cfvo type="max"/>
        <color theme="0" tint="-4.9989318521683403E-2"/>
        <color theme="9" tint="0.59999389629810485"/>
      </colorScale>
    </cfRule>
  </conditionalFormatting>
  <conditionalFormatting sqref="G58:U58">
    <cfRule type="colorScale" priority="1">
      <colorScale>
        <cfvo type="min"/>
        <cfvo type="max"/>
        <color theme="0" tint="-4.9989318521683403E-2"/>
        <color theme="9" tint="0.59999389629810485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5593-A24D-4679-92B7-71AB85F69CCF}">
  <dimension ref="A1:AW98"/>
  <sheetViews>
    <sheetView showGridLines="0" tabSelected="1" topLeftCell="A9" zoomScale="400" zoomScaleNormal="85" workbookViewId="0">
      <selection activeCell="E33" sqref="E33"/>
    </sheetView>
  </sheetViews>
  <sheetFormatPr baseColWidth="10" defaultColWidth="0" defaultRowHeight="15" zeroHeight="1" x14ac:dyDescent="0.2"/>
  <cols>
    <col min="1" max="1" width="2.33203125" customWidth="1"/>
    <col min="2" max="2" width="3.5" customWidth="1"/>
    <col min="3" max="3" width="23.33203125" bestFit="1" customWidth="1"/>
    <col min="4" max="4" width="15.6640625" customWidth="1"/>
    <col min="5" max="5" width="16.33203125" customWidth="1"/>
    <col min="6" max="6" width="15.33203125" customWidth="1"/>
    <col min="7" max="9" width="12.6640625" customWidth="1"/>
    <col min="10" max="10" width="13.33203125" customWidth="1"/>
    <col min="11" max="20" width="12.6640625" customWidth="1"/>
    <col min="21" max="21" width="2.5" customWidth="1"/>
    <col min="22" max="49" width="0" hidden="1" customWidth="1"/>
    <col min="50" max="16384" width="8.83203125" hidden="1"/>
  </cols>
  <sheetData>
    <row r="1" spans="2:20" x14ac:dyDescent="0.2"/>
    <row r="2" spans="2:20" ht="26" x14ac:dyDescent="0.3">
      <c r="D2" s="1" t="s">
        <v>15</v>
      </c>
    </row>
    <row r="3" spans="2:20" x14ac:dyDescent="0.2"/>
    <row r="4" spans="2:20" x14ac:dyDescent="0.2">
      <c r="B4" s="29" t="s">
        <v>0</v>
      </c>
      <c r="C4" s="30"/>
      <c r="D4" s="31"/>
      <c r="E4" s="38"/>
      <c r="G4" s="29" t="s">
        <v>63</v>
      </c>
      <c r="H4" s="30"/>
      <c r="I4" s="62" t="s">
        <v>11</v>
      </c>
      <c r="J4" s="32" t="s">
        <v>6</v>
      </c>
      <c r="L4" s="29" t="s">
        <v>75</v>
      </c>
      <c r="M4" s="30"/>
      <c r="N4" s="30"/>
      <c r="O4" s="30"/>
      <c r="P4" s="30"/>
      <c r="Q4" s="30"/>
      <c r="R4" s="30"/>
      <c r="S4" s="30"/>
      <c r="T4" s="38"/>
    </row>
    <row r="5" spans="2:20" ht="15" customHeight="1" x14ac:dyDescent="0.2">
      <c r="B5" s="39"/>
      <c r="C5" s="5" t="s">
        <v>4</v>
      </c>
      <c r="E5" s="40">
        <v>150</v>
      </c>
      <c r="G5" s="33" t="s">
        <v>12</v>
      </c>
      <c r="H5" s="5"/>
      <c r="I5" s="63">
        <v>1</v>
      </c>
      <c r="J5" s="34">
        <f>$E$18*I5</f>
        <v>150000000</v>
      </c>
      <c r="L5" s="39" t="s">
        <v>71</v>
      </c>
      <c r="M5" s="100"/>
      <c r="N5" s="98">
        <f>$D$53</f>
        <v>0.11432053649067808</v>
      </c>
      <c r="O5" s="25"/>
      <c r="P5" s="25"/>
      <c r="Q5" s="25"/>
      <c r="R5" s="100" t="s">
        <v>73</v>
      </c>
      <c r="S5" s="100"/>
      <c r="T5" s="98">
        <f>$D$81</f>
        <v>0.58929242575112917</v>
      </c>
    </row>
    <row r="6" spans="2:20" ht="15" customHeight="1" x14ac:dyDescent="0.2">
      <c r="B6" s="33"/>
      <c r="C6" s="5" t="s">
        <v>18</v>
      </c>
      <c r="E6" s="40">
        <v>2000</v>
      </c>
      <c r="G6" s="33" t="s">
        <v>13</v>
      </c>
      <c r="H6" s="5"/>
      <c r="I6" s="65">
        <v>0.3</v>
      </c>
      <c r="J6" s="34">
        <f>J5*I6</f>
        <v>45000000</v>
      </c>
      <c r="L6" s="101" t="s">
        <v>72</v>
      </c>
      <c r="M6" s="102"/>
      <c r="N6" s="99">
        <f>$D$54</f>
        <v>15161154.941106126</v>
      </c>
      <c r="O6" s="103"/>
      <c r="P6" s="103"/>
      <c r="Q6" s="103"/>
      <c r="R6" s="102" t="s">
        <v>74</v>
      </c>
      <c r="S6" s="102"/>
      <c r="T6" s="99">
        <f>$D$82</f>
        <v>30848215.523840919</v>
      </c>
    </row>
    <row r="7" spans="2:20" ht="15" customHeight="1" x14ac:dyDescent="0.2">
      <c r="B7" s="33"/>
      <c r="C7" s="5" t="s">
        <v>1</v>
      </c>
      <c r="E7" s="41">
        <v>5.0000000000000001E-3</v>
      </c>
      <c r="G7" s="33" t="s">
        <v>21</v>
      </c>
      <c r="H7" s="5"/>
      <c r="I7" s="65">
        <v>0.5</v>
      </c>
      <c r="J7" s="34">
        <f>J5-(I7*J6)</f>
        <v>127500000</v>
      </c>
    </row>
    <row r="8" spans="2:20" ht="15" customHeight="1" x14ac:dyDescent="0.2">
      <c r="B8" s="33"/>
      <c r="C8" s="5" t="s">
        <v>2</v>
      </c>
      <c r="E8" s="42">
        <v>75</v>
      </c>
      <c r="G8" s="35" t="s">
        <v>23</v>
      </c>
      <c r="H8" s="36"/>
      <c r="I8" s="64">
        <v>0.21</v>
      </c>
      <c r="J8" s="37"/>
    </row>
    <row r="9" spans="2:20" ht="15" customHeight="1" x14ac:dyDescent="0.2">
      <c r="B9" s="33"/>
      <c r="C9" s="111" t="s">
        <v>76</v>
      </c>
      <c r="D9" s="109"/>
      <c r="E9" s="42">
        <v>10000</v>
      </c>
      <c r="F9" s="108"/>
    </row>
    <row r="10" spans="2:20" x14ac:dyDescent="0.2">
      <c r="B10" s="33"/>
      <c r="C10" s="111" t="s">
        <v>77</v>
      </c>
      <c r="D10" s="108"/>
      <c r="E10" s="42">
        <v>2000000</v>
      </c>
    </row>
    <row r="11" spans="2:20" x14ac:dyDescent="0.2">
      <c r="B11" s="35"/>
      <c r="C11" s="36" t="s">
        <v>44</v>
      </c>
      <c r="D11" s="22"/>
      <c r="E11" s="43">
        <v>10</v>
      </c>
      <c r="G11" s="29" t="s">
        <v>56</v>
      </c>
      <c r="H11" s="30"/>
      <c r="I11" s="31"/>
      <c r="J11" s="32"/>
    </row>
    <row r="12" spans="2:20" x14ac:dyDescent="0.2">
      <c r="G12" s="33" t="s">
        <v>36</v>
      </c>
      <c r="H12" s="5"/>
      <c r="J12" s="49">
        <v>0.05</v>
      </c>
    </row>
    <row r="13" spans="2:20" x14ac:dyDescent="0.2">
      <c r="B13" s="29" t="s">
        <v>3</v>
      </c>
      <c r="C13" s="44"/>
      <c r="D13" s="31" t="s">
        <v>16</v>
      </c>
      <c r="E13" s="32" t="s">
        <v>6</v>
      </c>
      <c r="G13" s="33" t="s">
        <v>37</v>
      </c>
      <c r="H13" s="5"/>
      <c r="J13" s="50">
        <v>1.6</v>
      </c>
    </row>
    <row r="14" spans="2:20" x14ac:dyDescent="0.2">
      <c r="B14" s="33"/>
      <c r="C14" s="5" t="s">
        <v>7</v>
      </c>
      <c r="D14" s="45">
        <v>0.35</v>
      </c>
      <c r="E14" s="46">
        <f>D14*$E$5*1000000</f>
        <v>52500000</v>
      </c>
      <c r="G14" s="35" t="s">
        <v>45</v>
      </c>
      <c r="H14" s="36"/>
      <c r="I14" s="22"/>
      <c r="J14" s="43">
        <v>10</v>
      </c>
    </row>
    <row r="15" spans="2:20" x14ac:dyDescent="0.2">
      <c r="B15" s="33"/>
      <c r="C15" s="5" t="s">
        <v>5</v>
      </c>
      <c r="D15" s="45">
        <v>0.4</v>
      </c>
      <c r="E15" s="46">
        <f>D15*$E$5*1000000</f>
        <v>60000000</v>
      </c>
    </row>
    <row r="16" spans="2:20" x14ac:dyDescent="0.2">
      <c r="B16" s="33"/>
      <c r="C16" s="5" t="s">
        <v>8</v>
      </c>
      <c r="D16" s="45">
        <v>0.1</v>
      </c>
      <c r="E16" s="46">
        <f>D16*$E$5*1000000</f>
        <v>15000000</v>
      </c>
      <c r="G16" s="29" t="s">
        <v>69</v>
      </c>
      <c r="H16" s="32"/>
    </row>
    <row r="17" spans="2:21" x14ac:dyDescent="0.2">
      <c r="B17" s="33"/>
      <c r="C17" s="5" t="s">
        <v>9</v>
      </c>
      <c r="D17" s="45">
        <v>0.15</v>
      </c>
      <c r="E17" s="46">
        <f>D17*$E$5*1000000</f>
        <v>22500000</v>
      </c>
      <c r="G17" s="80" t="s">
        <v>51</v>
      </c>
      <c r="H17" s="77"/>
    </row>
    <row r="18" spans="2:21" x14ac:dyDescent="0.2">
      <c r="B18" s="12"/>
      <c r="C18" s="47" t="s">
        <v>10</v>
      </c>
      <c r="D18" s="48">
        <f>SUM(D14:D17)</f>
        <v>1</v>
      </c>
      <c r="E18" s="18">
        <f>SUM(E14:E17)</f>
        <v>150000000</v>
      </c>
      <c r="G18" s="80" t="s">
        <v>52</v>
      </c>
      <c r="H18" s="78"/>
    </row>
    <row r="19" spans="2:21" x14ac:dyDescent="0.2">
      <c r="D19" s="19"/>
      <c r="E19" s="20"/>
      <c r="G19" s="80" t="s">
        <v>53</v>
      </c>
      <c r="H19" s="79"/>
    </row>
    <row r="20" spans="2:21" x14ac:dyDescent="0.2">
      <c r="B20" s="29" t="s">
        <v>64</v>
      </c>
      <c r="C20" s="30"/>
      <c r="D20" s="31"/>
      <c r="E20" s="32"/>
      <c r="G20" s="81" t="s">
        <v>68</v>
      </c>
      <c r="H20" s="68"/>
    </row>
    <row r="21" spans="2:21" x14ac:dyDescent="0.2">
      <c r="B21" s="12" t="s">
        <v>57</v>
      </c>
      <c r="C21" s="47"/>
      <c r="D21" s="59"/>
      <c r="E21" s="61">
        <v>0.08</v>
      </c>
    </row>
    <row r="22" spans="2:21" x14ac:dyDescent="0.2"/>
    <row r="23" spans="2:21" x14ac:dyDescent="0.2">
      <c r="G23" s="108"/>
    </row>
    <row r="24" spans="2:21" x14ac:dyDescent="0.2">
      <c r="D24" s="19"/>
      <c r="E24" s="20"/>
      <c r="G24" s="108"/>
    </row>
    <row r="25" spans="2:21" x14ac:dyDescent="0.2">
      <c r="B25" s="25" t="s">
        <v>27</v>
      </c>
      <c r="D25" s="19"/>
      <c r="E25" s="20"/>
    </row>
    <row r="26" spans="2:21" x14ac:dyDescent="0.2">
      <c r="B26" s="21"/>
      <c r="C26" s="3" t="s">
        <v>14</v>
      </c>
      <c r="D26" s="6"/>
      <c r="E26" s="6"/>
      <c r="F26" s="6">
        <v>0</v>
      </c>
      <c r="G26" s="6">
        <f>F26+1</f>
        <v>1</v>
      </c>
      <c r="H26" s="6">
        <f>G26+1</f>
        <v>2</v>
      </c>
      <c r="I26" s="6">
        <f t="shared" ref="I26:O26" si="0">H26+1</f>
        <v>3</v>
      </c>
      <c r="J26" s="6">
        <f t="shared" si="0"/>
        <v>4</v>
      </c>
      <c r="K26" s="6">
        <f t="shared" si="0"/>
        <v>5</v>
      </c>
      <c r="L26" s="6">
        <f t="shared" si="0"/>
        <v>6</v>
      </c>
      <c r="M26" s="6">
        <f t="shared" si="0"/>
        <v>7</v>
      </c>
      <c r="N26" s="6">
        <f t="shared" si="0"/>
        <v>8</v>
      </c>
      <c r="O26" s="6">
        <f t="shared" si="0"/>
        <v>9</v>
      </c>
      <c r="P26" s="6">
        <f t="shared" ref="P26" si="1">O26+1</f>
        <v>10</v>
      </c>
      <c r="Q26" s="6">
        <f t="shared" ref="Q26" si="2">P26+1</f>
        <v>11</v>
      </c>
      <c r="R26" s="6">
        <f t="shared" ref="R26" si="3">Q26+1</f>
        <v>12</v>
      </c>
      <c r="S26" s="6">
        <f t="shared" ref="S26" si="4">R26+1</f>
        <v>13</v>
      </c>
      <c r="T26" s="6">
        <f t="shared" ref="T26" si="5">S26+1</f>
        <v>14</v>
      </c>
      <c r="U26" s="28"/>
    </row>
    <row r="27" spans="2:21" x14ac:dyDescent="0.2">
      <c r="G27" s="110">
        <v>0.2</v>
      </c>
      <c r="H27" s="110">
        <v>0.32000000000000006</v>
      </c>
      <c r="I27" s="110">
        <v>0.192</v>
      </c>
      <c r="J27" s="110">
        <v>0.1152</v>
      </c>
      <c r="K27" s="110">
        <v>0.11519999999999998</v>
      </c>
      <c r="L27" s="110">
        <v>5.7599999999999991E-2</v>
      </c>
    </row>
    <row r="28" spans="2:21" x14ac:dyDescent="0.2">
      <c r="D28" s="17"/>
      <c r="F28" s="51"/>
      <c r="G28" s="107"/>
      <c r="H28" s="51"/>
      <c r="I28" s="51"/>
      <c r="J28" s="51"/>
      <c r="K28" s="51"/>
    </row>
    <row r="29" spans="2:21" x14ac:dyDescent="0.2">
      <c r="B29" s="25" t="s">
        <v>32</v>
      </c>
      <c r="C29" s="17"/>
      <c r="D29" s="17"/>
      <c r="E29" s="17"/>
      <c r="F29" s="17"/>
      <c r="G29" s="17"/>
      <c r="H29" s="17"/>
      <c r="I29" s="1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1" x14ac:dyDescent="0.2">
      <c r="B30" s="13"/>
      <c r="C30" s="3" t="s">
        <v>14</v>
      </c>
      <c r="D30" s="4"/>
      <c r="E30" s="139" t="s">
        <v>6</v>
      </c>
      <c r="F30" s="4">
        <f t="shared" ref="F30:T30" si="6">F26</f>
        <v>0</v>
      </c>
      <c r="G30" s="4">
        <f t="shared" si="6"/>
        <v>1</v>
      </c>
      <c r="H30" s="4">
        <f t="shared" si="6"/>
        <v>2</v>
      </c>
      <c r="I30" s="4">
        <f t="shared" si="6"/>
        <v>3</v>
      </c>
      <c r="J30" s="4">
        <f t="shared" si="6"/>
        <v>4</v>
      </c>
      <c r="K30" s="4">
        <f t="shared" si="6"/>
        <v>5</v>
      </c>
      <c r="L30" s="4">
        <f t="shared" si="6"/>
        <v>6</v>
      </c>
      <c r="M30" s="4">
        <f t="shared" si="6"/>
        <v>7</v>
      </c>
      <c r="N30" s="4">
        <f t="shared" si="6"/>
        <v>8</v>
      </c>
      <c r="O30" s="4">
        <f t="shared" si="6"/>
        <v>9</v>
      </c>
      <c r="P30" s="4">
        <f t="shared" si="6"/>
        <v>10</v>
      </c>
      <c r="Q30" s="4">
        <f t="shared" si="6"/>
        <v>11</v>
      </c>
      <c r="R30" s="4">
        <f t="shared" si="6"/>
        <v>12</v>
      </c>
      <c r="S30" s="4">
        <f t="shared" si="6"/>
        <v>13</v>
      </c>
      <c r="T30" s="4">
        <f t="shared" si="6"/>
        <v>14</v>
      </c>
      <c r="U30" s="28"/>
    </row>
    <row r="31" spans="2:21" x14ac:dyDescent="0.2">
      <c r="C31" t="s">
        <v>43</v>
      </c>
      <c r="D31" s="28"/>
      <c r="E31" s="140"/>
      <c r="F31" s="28"/>
      <c r="G31" s="82">
        <f t="shared" ref="G31:T31" si="7">IF(G$30&lt;=$E$11,1,0)</f>
        <v>1</v>
      </c>
      <c r="H31" s="82">
        <f t="shared" si="7"/>
        <v>1</v>
      </c>
      <c r="I31" s="82">
        <f t="shared" si="7"/>
        <v>1</v>
      </c>
      <c r="J31" s="82">
        <f t="shared" si="7"/>
        <v>1</v>
      </c>
      <c r="K31" s="82">
        <f t="shared" si="7"/>
        <v>1</v>
      </c>
      <c r="L31" s="82">
        <f t="shared" si="7"/>
        <v>1</v>
      </c>
      <c r="M31" s="82">
        <f t="shared" si="7"/>
        <v>1</v>
      </c>
      <c r="N31" s="82">
        <f t="shared" si="7"/>
        <v>1</v>
      </c>
      <c r="O31" s="82">
        <f t="shared" si="7"/>
        <v>1</v>
      </c>
      <c r="P31" s="82">
        <f t="shared" si="7"/>
        <v>1</v>
      </c>
      <c r="Q31" s="82">
        <f t="shared" si="7"/>
        <v>0</v>
      </c>
      <c r="R31" s="82">
        <f t="shared" si="7"/>
        <v>0</v>
      </c>
      <c r="S31" s="82">
        <f t="shared" si="7"/>
        <v>0</v>
      </c>
      <c r="T31" s="122">
        <f t="shared" si="7"/>
        <v>0</v>
      </c>
      <c r="U31" s="123"/>
    </row>
    <row r="32" spans="2:21" ht="10" customHeight="1" x14ac:dyDescent="0.2">
      <c r="D32" s="28"/>
      <c r="E32" s="140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3:21" s="8" customFormat="1" x14ac:dyDescent="0.2">
      <c r="C33" s="8" t="s">
        <v>17</v>
      </c>
      <c r="D33" s="87"/>
      <c r="E33" s="141">
        <f>SUM(F33:T33)</f>
        <v>2933392.1720536863</v>
      </c>
      <c r="F33" s="9"/>
      <c r="G33" s="58">
        <f>$E$6*$E$5*$G31</f>
        <v>300000</v>
      </c>
      <c r="H33" s="70">
        <f>G33*(1-$E$7)*H$31</f>
        <v>298500</v>
      </c>
      <c r="I33" s="70">
        <f t="shared" ref="I33:T33" si="8">H33*(1-$E$7)*I$31</f>
        <v>297007.5</v>
      </c>
      <c r="J33" s="70">
        <f t="shared" si="8"/>
        <v>295522.46250000002</v>
      </c>
      <c r="K33" s="70">
        <f t="shared" si="8"/>
        <v>294044.85018750001</v>
      </c>
      <c r="L33" s="70">
        <f t="shared" si="8"/>
        <v>292574.62593656249</v>
      </c>
      <c r="M33" s="70">
        <f t="shared" si="8"/>
        <v>291111.7528068797</v>
      </c>
      <c r="N33" s="70">
        <f t="shared" si="8"/>
        <v>289656.19404284528</v>
      </c>
      <c r="O33" s="70">
        <f t="shared" si="8"/>
        <v>288207.91307263105</v>
      </c>
      <c r="P33" s="70">
        <f t="shared" si="8"/>
        <v>286766.87350726791</v>
      </c>
      <c r="Q33" s="70">
        <f t="shared" si="8"/>
        <v>0</v>
      </c>
      <c r="R33" s="70">
        <f t="shared" si="8"/>
        <v>0</v>
      </c>
      <c r="S33" s="70">
        <f t="shared" si="8"/>
        <v>0</v>
      </c>
      <c r="T33" s="70">
        <f t="shared" si="8"/>
        <v>0</v>
      </c>
      <c r="U33" s="117"/>
    </row>
    <row r="34" spans="3:21" s="8" customFormat="1" ht="10" customHeight="1" x14ac:dyDescent="0.2">
      <c r="E34" s="1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17"/>
    </row>
    <row r="35" spans="3:21" s="8" customFormat="1" ht="15" customHeight="1" x14ac:dyDescent="0.2">
      <c r="C35" s="57" t="s">
        <v>46</v>
      </c>
      <c r="E35" s="1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17"/>
    </row>
    <row r="36" spans="3:21" x14ac:dyDescent="0.2">
      <c r="C36" s="52" t="s">
        <v>19</v>
      </c>
      <c r="D36" s="7"/>
      <c r="E36" s="130">
        <f t="shared" ref="E36:E39" si="9">SUM(F36:T36)</f>
        <v>220004412.90402648</v>
      </c>
      <c r="F36" s="7"/>
      <c r="G36" s="71">
        <f>G33*$E$8*G$31</f>
        <v>22500000</v>
      </c>
      <c r="H36" s="71">
        <f t="shared" ref="H36:T36" si="10">H33*$E$8*H$31</f>
        <v>22387500</v>
      </c>
      <c r="I36" s="71">
        <f t="shared" si="10"/>
        <v>22275562.5</v>
      </c>
      <c r="J36" s="71">
        <f t="shared" si="10"/>
        <v>22164184.6875</v>
      </c>
      <c r="K36" s="71">
        <f t="shared" si="10"/>
        <v>22053363.764062501</v>
      </c>
      <c r="L36" s="71">
        <f t="shared" si="10"/>
        <v>21943096.945242185</v>
      </c>
      <c r="M36" s="71">
        <f t="shared" si="10"/>
        <v>21833381.460515976</v>
      </c>
      <c r="N36" s="71">
        <f t="shared" si="10"/>
        <v>21724214.553213395</v>
      </c>
      <c r="O36" s="71">
        <f t="shared" si="10"/>
        <v>21615593.48044733</v>
      </c>
      <c r="P36" s="71">
        <f t="shared" si="10"/>
        <v>21507515.513045095</v>
      </c>
      <c r="Q36" s="71">
        <f t="shared" si="10"/>
        <v>0</v>
      </c>
      <c r="R36" s="71">
        <f t="shared" si="10"/>
        <v>0</v>
      </c>
      <c r="S36" s="71">
        <f t="shared" si="10"/>
        <v>0</v>
      </c>
      <c r="T36" s="71">
        <f t="shared" si="10"/>
        <v>0</v>
      </c>
      <c r="U36" s="114"/>
    </row>
    <row r="37" spans="3:21" x14ac:dyDescent="0.2">
      <c r="C37" s="55" t="s">
        <v>47</v>
      </c>
      <c r="D37" s="7"/>
      <c r="E37" s="130">
        <f t="shared" si="9"/>
        <v>-15000000</v>
      </c>
      <c r="F37" s="7"/>
      <c r="G37" s="71">
        <f>-$E$9*$E$5*G$31</f>
        <v>-1500000</v>
      </c>
      <c r="H37" s="71">
        <f t="shared" ref="H37:T37" si="11">-$E$9*$E$5*H$31</f>
        <v>-1500000</v>
      </c>
      <c r="I37" s="71">
        <f t="shared" si="11"/>
        <v>-1500000</v>
      </c>
      <c r="J37" s="71">
        <f t="shared" si="11"/>
        <v>-1500000</v>
      </c>
      <c r="K37" s="71">
        <f t="shared" si="11"/>
        <v>-1500000</v>
      </c>
      <c r="L37" s="71">
        <f t="shared" si="11"/>
        <v>-1500000</v>
      </c>
      <c r="M37" s="71">
        <f t="shared" si="11"/>
        <v>-1500000</v>
      </c>
      <c r="N37" s="71">
        <f t="shared" si="11"/>
        <v>-1500000</v>
      </c>
      <c r="O37" s="71">
        <f t="shared" si="11"/>
        <v>-1500000</v>
      </c>
      <c r="P37" s="71">
        <f t="shared" si="11"/>
        <v>-1500000</v>
      </c>
      <c r="Q37" s="71">
        <f t="shared" si="11"/>
        <v>0</v>
      </c>
      <c r="R37" s="71">
        <f t="shared" si="11"/>
        <v>0</v>
      </c>
      <c r="S37" s="71">
        <f t="shared" si="11"/>
        <v>0</v>
      </c>
      <c r="T37" s="71">
        <f t="shared" si="11"/>
        <v>0</v>
      </c>
      <c r="U37" s="114"/>
    </row>
    <row r="38" spans="3:21" x14ac:dyDescent="0.2">
      <c r="C38" s="55" t="s">
        <v>48</v>
      </c>
      <c r="D38" s="7"/>
      <c r="E38" s="130">
        <f t="shared" si="9"/>
        <v>-20000000</v>
      </c>
      <c r="F38" s="7"/>
      <c r="G38" s="71">
        <f t="shared" ref="G38:T38" si="12">-$E$10*G$31</f>
        <v>-2000000</v>
      </c>
      <c r="H38" s="71">
        <f t="shared" si="12"/>
        <v>-2000000</v>
      </c>
      <c r="I38" s="71">
        <f t="shared" si="12"/>
        <v>-2000000</v>
      </c>
      <c r="J38" s="71">
        <f t="shared" si="12"/>
        <v>-2000000</v>
      </c>
      <c r="K38" s="71">
        <f t="shared" si="12"/>
        <v>-2000000</v>
      </c>
      <c r="L38" s="71">
        <f t="shared" si="12"/>
        <v>-2000000</v>
      </c>
      <c r="M38" s="71">
        <f t="shared" si="12"/>
        <v>-2000000</v>
      </c>
      <c r="N38" s="71">
        <f t="shared" si="12"/>
        <v>-2000000</v>
      </c>
      <c r="O38" s="71">
        <f t="shared" si="12"/>
        <v>-2000000</v>
      </c>
      <c r="P38" s="71">
        <f t="shared" si="12"/>
        <v>-2000000</v>
      </c>
      <c r="Q38" s="71">
        <f t="shared" si="12"/>
        <v>0</v>
      </c>
      <c r="R38" s="71">
        <f t="shared" si="12"/>
        <v>0</v>
      </c>
      <c r="S38" s="71">
        <f t="shared" si="12"/>
        <v>0</v>
      </c>
      <c r="T38" s="71">
        <f t="shared" si="12"/>
        <v>0</v>
      </c>
      <c r="U38" s="114"/>
    </row>
    <row r="39" spans="3:21" x14ac:dyDescent="0.2">
      <c r="C39" s="104" t="s">
        <v>20</v>
      </c>
      <c r="D39" s="105"/>
      <c r="E39" s="131">
        <f t="shared" si="9"/>
        <v>185004412.90402648</v>
      </c>
      <c r="F39" s="105"/>
      <c r="G39" s="106">
        <f t="shared" ref="G39:T39" si="13">SUM(G36:G38)</f>
        <v>19000000</v>
      </c>
      <c r="H39" s="106">
        <f t="shared" si="13"/>
        <v>18887500</v>
      </c>
      <c r="I39" s="106">
        <f t="shared" si="13"/>
        <v>18775562.5</v>
      </c>
      <c r="J39" s="106">
        <f t="shared" si="13"/>
        <v>18664184.6875</v>
      </c>
      <c r="K39" s="106">
        <f t="shared" si="13"/>
        <v>18553363.764062501</v>
      </c>
      <c r="L39" s="106">
        <f t="shared" si="13"/>
        <v>18443096.945242185</v>
      </c>
      <c r="M39" s="106">
        <f t="shared" si="13"/>
        <v>18333381.460515976</v>
      </c>
      <c r="N39" s="106">
        <f t="shared" si="13"/>
        <v>18224214.553213395</v>
      </c>
      <c r="O39" s="106">
        <f t="shared" si="13"/>
        <v>18115593.48044733</v>
      </c>
      <c r="P39" s="106">
        <f t="shared" si="13"/>
        <v>18007515.513045095</v>
      </c>
      <c r="Q39" s="106">
        <f t="shared" si="13"/>
        <v>0</v>
      </c>
      <c r="R39" s="106">
        <f t="shared" si="13"/>
        <v>0</v>
      </c>
      <c r="S39" s="106">
        <f t="shared" si="13"/>
        <v>0</v>
      </c>
      <c r="T39" s="106">
        <f t="shared" si="13"/>
        <v>0</v>
      </c>
      <c r="U39" s="124"/>
    </row>
    <row r="40" spans="3:21" s="8" customFormat="1" x14ac:dyDescent="0.2">
      <c r="C40" s="8" t="s">
        <v>26</v>
      </c>
      <c r="E40" s="132"/>
      <c r="F40" s="56"/>
      <c r="G40" s="15">
        <f t="shared" ref="G40:T40" si="14">IFERROR(G39/G36,"-")</f>
        <v>0.84444444444444444</v>
      </c>
      <c r="H40" s="15">
        <f t="shared" si="14"/>
        <v>0.84366275823562253</v>
      </c>
      <c r="I40" s="15">
        <f t="shared" si="14"/>
        <v>0.84287714395539959</v>
      </c>
      <c r="J40" s="15">
        <f t="shared" si="14"/>
        <v>0.84208758186472321</v>
      </c>
      <c r="K40" s="15">
        <f t="shared" si="14"/>
        <v>0.84129405212534991</v>
      </c>
      <c r="L40" s="15">
        <f t="shared" si="14"/>
        <v>0.84049653479934661</v>
      </c>
      <c r="M40" s="15">
        <f t="shared" si="14"/>
        <v>0.83969500984858958</v>
      </c>
      <c r="N40" s="15">
        <f t="shared" si="14"/>
        <v>0.83888945713426089</v>
      </c>
      <c r="O40" s="15">
        <f t="shared" si="14"/>
        <v>0.83807985641634264</v>
      </c>
      <c r="P40" s="15">
        <f t="shared" si="14"/>
        <v>0.8372661873531082</v>
      </c>
      <c r="Q40" s="15" t="str">
        <f t="shared" si="14"/>
        <v>-</v>
      </c>
      <c r="R40" s="15" t="str">
        <f t="shared" si="14"/>
        <v>-</v>
      </c>
      <c r="S40" s="15" t="str">
        <f t="shared" si="14"/>
        <v>-</v>
      </c>
      <c r="T40" s="15" t="str">
        <f t="shared" si="14"/>
        <v>-</v>
      </c>
      <c r="U40" s="120"/>
    </row>
    <row r="41" spans="3:21" s="8" customFormat="1" ht="10" customHeight="1" x14ac:dyDescent="0.2">
      <c r="E41" s="132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20"/>
    </row>
    <row r="42" spans="3:21" s="8" customFormat="1" x14ac:dyDescent="0.2">
      <c r="C42" s="57" t="s">
        <v>22</v>
      </c>
      <c r="E42" s="132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20"/>
    </row>
    <row r="43" spans="3:21" x14ac:dyDescent="0.2">
      <c r="C43" s="52" t="s">
        <v>28</v>
      </c>
      <c r="D43" s="14"/>
      <c r="E43" s="130">
        <f t="shared" ref="E43:E44" si="15">SUM(F43:T43)</f>
        <v>-127500000</v>
      </c>
      <c r="F43" s="7"/>
      <c r="G43" s="71">
        <f t="shared" ref="G43:T43" si="16">-$J$7*G27</f>
        <v>-25500000</v>
      </c>
      <c r="H43" s="71">
        <f t="shared" si="16"/>
        <v>-40800000.000000007</v>
      </c>
      <c r="I43" s="71">
        <f t="shared" si="16"/>
        <v>-24480000</v>
      </c>
      <c r="J43" s="71">
        <f t="shared" si="16"/>
        <v>-14688000</v>
      </c>
      <c r="K43" s="71">
        <f t="shared" si="16"/>
        <v>-14687999.999999998</v>
      </c>
      <c r="L43" s="71">
        <f t="shared" si="16"/>
        <v>-7343999.9999999991</v>
      </c>
      <c r="M43" s="71">
        <f t="shared" si="16"/>
        <v>0</v>
      </c>
      <c r="N43" s="71">
        <f t="shared" si="16"/>
        <v>0</v>
      </c>
      <c r="O43" s="71">
        <f t="shared" si="16"/>
        <v>0</v>
      </c>
      <c r="P43" s="71">
        <f t="shared" si="16"/>
        <v>0</v>
      </c>
      <c r="Q43" s="71">
        <f t="shared" si="16"/>
        <v>0</v>
      </c>
      <c r="R43" s="71">
        <f t="shared" si="16"/>
        <v>0</v>
      </c>
      <c r="S43" s="71">
        <f t="shared" si="16"/>
        <v>0</v>
      </c>
      <c r="T43" s="71">
        <f t="shared" si="16"/>
        <v>0</v>
      </c>
      <c r="U43" s="114"/>
    </row>
    <row r="44" spans="3:21" x14ac:dyDescent="0.2">
      <c r="C44" s="104" t="s">
        <v>22</v>
      </c>
      <c r="D44" s="105"/>
      <c r="E44" s="131">
        <f t="shared" si="15"/>
        <v>57504412.904026471</v>
      </c>
      <c r="F44" s="105"/>
      <c r="G44" s="106">
        <f>G43+G39</f>
        <v>-6500000</v>
      </c>
      <c r="H44" s="106">
        <f t="shared" ref="H44:T44" si="17">H43+H39</f>
        <v>-21912500.000000007</v>
      </c>
      <c r="I44" s="106">
        <f t="shared" si="17"/>
        <v>-5704437.5</v>
      </c>
      <c r="J44" s="106">
        <f t="shared" si="17"/>
        <v>3976184.6875</v>
      </c>
      <c r="K44" s="106">
        <f t="shared" si="17"/>
        <v>3865363.7640625034</v>
      </c>
      <c r="L44" s="106">
        <f t="shared" si="17"/>
        <v>11099096.945242185</v>
      </c>
      <c r="M44" s="106">
        <f t="shared" si="17"/>
        <v>18333381.460515976</v>
      </c>
      <c r="N44" s="106">
        <f t="shared" si="17"/>
        <v>18224214.553213395</v>
      </c>
      <c r="O44" s="106">
        <f t="shared" si="17"/>
        <v>18115593.48044733</v>
      </c>
      <c r="P44" s="106">
        <f t="shared" si="17"/>
        <v>18007515.513045095</v>
      </c>
      <c r="Q44" s="106">
        <f t="shared" si="17"/>
        <v>0</v>
      </c>
      <c r="R44" s="106">
        <f t="shared" si="17"/>
        <v>0</v>
      </c>
      <c r="S44" s="106">
        <f t="shared" si="17"/>
        <v>0</v>
      </c>
      <c r="T44" s="106">
        <f t="shared" si="17"/>
        <v>0</v>
      </c>
      <c r="U44" s="124"/>
    </row>
    <row r="45" spans="3:21" ht="10" customHeight="1" x14ac:dyDescent="0.2">
      <c r="D45" s="53"/>
      <c r="E45" s="13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4"/>
    </row>
    <row r="46" spans="3:21" x14ac:dyDescent="0.2">
      <c r="C46" s="57" t="s">
        <v>49</v>
      </c>
      <c r="D46" s="53"/>
      <c r="E46" s="133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14"/>
    </row>
    <row r="47" spans="3:21" x14ac:dyDescent="0.2">
      <c r="C47" s="52" t="s">
        <v>39</v>
      </c>
      <c r="D47" s="112"/>
      <c r="E47" s="130">
        <f>SUM(F47:T47)</f>
        <v>-150000000</v>
      </c>
      <c r="F47" s="58">
        <f>IF(F$30=0,-$E$18,0)</f>
        <v>-150000000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14"/>
    </row>
    <row r="48" spans="3:21" x14ac:dyDescent="0.2">
      <c r="C48" s="52" t="s">
        <v>13</v>
      </c>
      <c r="D48" s="112"/>
      <c r="E48" s="130">
        <f>SUM(F48:T48)</f>
        <v>45000000</v>
      </c>
      <c r="F48" s="58">
        <f>IF(F$30=0,$J$6,0)</f>
        <v>45000000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14"/>
    </row>
    <row r="49" spans="2:21" x14ac:dyDescent="0.2">
      <c r="C49" s="52" t="s">
        <v>20</v>
      </c>
      <c r="D49" s="112"/>
      <c r="E49" s="130">
        <f t="shared" ref="E49:E51" si="18">SUM(F49:T49)</f>
        <v>185004412.90402648</v>
      </c>
      <c r="F49" s="54"/>
      <c r="G49" s="72">
        <f t="shared" ref="G49:T49" si="19">G39</f>
        <v>19000000</v>
      </c>
      <c r="H49" s="72">
        <f t="shared" si="19"/>
        <v>18887500</v>
      </c>
      <c r="I49" s="72">
        <f t="shared" si="19"/>
        <v>18775562.5</v>
      </c>
      <c r="J49" s="72">
        <f t="shared" si="19"/>
        <v>18664184.6875</v>
      </c>
      <c r="K49" s="72">
        <f t="shared" si="19"/>
        <v>18553363.764062501</v>
      </c>
      <c r="L49" s="72">
        <f t="shared" si="19"/>
        <v>18443096.945242185</v>
      </c>
      <c r="M49" s="72">
        <f t="shared" si="19"/>
        <v>18333381.460515976</v>
      </c>
      <c r="N49" s="72">
        <f t="shared" si="19"/>
        <v>18224214.553213395</v>
      </c>
      <c r="O49" s="72">
        <f t="shared" si="19"/>
        <v>18115593.48044733</v>
      </c>
      <c r="P49" s="72">
        <f t="shared" si="19"/>
        <v>18007515.513045095</v>
      </c>
      <c r="Q49" s="72">
        <f t="shared" si="19"/>
        <v>0</v>
      </c>
      <c r="R49" s="72">
        <f t="shared" si="19"/>
        <v>0</v>
      </c>
      <c r="S49" s="72">
        <f t="shared" si="19"/>
        <v>0</v>
      </c>
      <c r="T49" s="72">
        <f t="shared" si="19"/>
        <v>0</v>
      </c>
      <c r="U49" s="114"/>
    </row>
    <row r="50" spans="2:21" x14ac:dyDescent="0.2">
      <c r="C50" s="52" t="s">
        <v>24</v>
      </c>
      <c r="D50" s="112"/>
      <c r="E50" s="130">
        <f t="shared" si="18"/>
        <v>-12075926.70984556</v>
      </c>
      <c r="F50" s="7"/>
      <c r="G50" s="71">
        <f t="shared" ref="G50:T50" si="20">-$I$8*G44*G$31</f>
        <v>1365000</v>
      </c>
      <c r="H50" s="71">
        <f t="shared" si="20"/>
        <v>4601625.0000000009</v>
      </c>
      <c r="I50" s="71">
        <f t="shared" si="20"/>
        <v>1197931.875</v>
      </c>
      <c r="J50" s="71">
        <f t="shared" si="20"/>
        <v>-834998.78437499993</v>
      </c>
      <c r="K50" s="71">
        <f t="shared" si="20"/>
        <v>-811726.3904531257</v>
      </c>
      <c r="L50" s="71">
        <f t="shared" si="20"/>
        <v>-2330810.3585008588</v>
      </c>
      <c r="M50" s="71">
        <f t="shared" si="20"/>
        <v>-3850010.1067083548</v>
      </c>
      <c r="N50" s="71">
        <f t="shared" si="20"/>
        <v>-3827085.0561748128</v>
      </c>
      <c r="O50" s="71">
        <f t="shared" si="20"/>
        <v>-3804274.6308939392</v>
      </c>
      <c r="P50" s="71">
        <f t="shared" si="20"/>
        <v>-3781578.2577394699</v>
      </c>
      <c r="Q50" s="71">
        <f t="shared" si="20"/>
        <v>0</v>
      </c>
      <c r="R50" s="71">
        <f t="shared" si="20"/>
        <v>0</v>
      </c>
      <c r="S50" s="71">
        <f t="shared" si="20"/>
        <v>0</v>
      </c>
      <c r="T50" s="71">
        <f t="shared" si="20"/>
        <v>0</v>
      </c>
      <c r="U50" s="114"/>
    </row>
    <row r="51" spans="2:21" x14ac:dyDescent="0.2">
      <c r="C51" s="69" t="s">
        <v>49</v>
      </c>
      <c r="D51" s="113"/>
      <c r="E51" s="134">
        <f t="shared" si="18"/>
        <v>67928486.194180921</v>
      </c>
      <c r="F51" s="76">
        <f>SUM(F47:F50)</f>
        <v>-105000000</v>
      </c>
      <c r="G51" s="76">
        <f t="shared" ref="G51:T51" si="21">SUM(G47:G50)</f>
        <v>20365000</v>
      </c>
      <c r="H51" s="76">
        <f t="shared" si="21"/>
        <v>23489125</v>
      </c>
      <c r="I51" s="76">
        <f t="shared" si="21"/>
        <v>19973494.375</v>
      </c>
      <c r="J51" s="76">
        <f t="shared" si="21"/>
        <v>17829185.903124999</v>
      </c>
      <c r="K51" s="76">
        <f t="shared" si="21"/>
        <v>17741637.373609375</v>
      </c>
      <c r="L51" s="76">
        <f t="shared" si="21"/>
        <v>16112286.586741326</v>
      </c>
      <c r="M51" s="76">
        <f t="shared" si="21"/>
        <v>14483371.353807621</v>
      </c>
      <c r="N51" s="76">
        <f t="shared" si="21"/>
        <v>14397129.497038582</v>
      </c>
      <c r="O51" s="76">
        <f t="shared" si="21"/>
        <v>14311318.849553391</v>
      </c>
      <c r="P51" s="76">
        <f t="shared" si="21"/>
        <v>14225937.255305625</v>
      </c>
      <c r="Q51" s="76">
        <f t="shared" si="21"/>
        <v>0</v>
      </c>
      <c r="R51" s="76">
        <f t="shared" si="21"/>
        <v>0</v>
      </c>
      <c r="S51" s="76">
        <f t="shared" si="21"/>
        <v>0</v>
      </c>
      <c r="T51" s="76">
        <f t="shared" si="21"/>
        <v>0</v>
      </c>
      <c r="U51" s="125"/>
    </row>
    <row r="52" spans="2:21" ht="10" customHeight="1" x14ac:dyDescent="0.2">
      <c r="C52" s="22"/>
      <c r="D52" s="2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1" x14ac:dyDescent="0.2">
      <c r="C53" s="12" t="s">
        <v>25</v>
      </c>
      <c r="D53" s="66">
        <f>IRR(F51:T51)</f>
        <v>0.11432053649067808</v>
      </c>
      <c r="E53" s="14"/>
    </row>
    <row r="54" spans="2:21" x14ac:dyDescent="0.2">
      <c r="C54" s="12" t="s">
        <v>29</v>
      </c>
      <c r="D54" s="67">
        <f>NPV($E$21,G51:T51)+F51</f>
        <v>15161154.941106126</v>
      </c>
      <c r="E54" s="14"/>
    </row>
    <row r="55" spans="2:21" ht="10" customHeight="1" x14ac:dyDescent="0.2">
      <c r="B55" s="16"/>
      <c r="D55" s="20"/>
      <c r="E55" s="20"/>
    </row>
    <row r="56" spans="2:21" s="25" customFormat="1" x14ac:dyDescent="0.2">
      <c r="B56" s="26" t="s">
        <v>41</v>
      </c>
      <c r="D56" s="27"/>
      <c r="E56" s="27"/>
    </row>
    <row r="57" spans="2:21" x14ac:dyDescent="0.2">
      <c r="B57" s="4"/>
      <c r="C57" s="24" t="str">
        <f>C30</f>
        <v>Year</v>
      </c>
      <c r="D57" s="4"/>
      <c r="E57" s="139" t="s">
        <v>6</v>
      </c>
      <c r="F57" s="4">
        <f t="shared" ref="F57:T57" si="22">F30</f>
        <v>0</v>
      </c>
      <c r="G57" s="4">
        <f t="shared" si="22"/>
        <v>1</v>
      </c>
      <c r="H57" s="4">
        <f t="shared" si="22"/>
        <v>2</v>
      </c>
      <c r="I57" s="4">
        <f t="shared" si="22"/>
        <v>3</v>
      </c>
      <c r="J57" s="4">
        <f t="shared" si="22"/>
        <v>4</v>
      </c>
      <c r="K57" s="4">
        <f t="shared" si="22"/>
        <v>5</v>
      </c>
      <c r="L57" s="4">
        <f t="shared" si="22"/>
        <v>6</v>
      </c>
      <c r="M57" s="4">
        <f t="shared" si="22"/>
        <v>7</v>
      </c>
      <c r="N57" s="4">
        <f t="shared" si="22"/>
        <v>8</v>
      </c>
      <c r="O57" s="4">
        <f t="shared" si="22"/>
        <v>9</v>
      </c>
      <c r="P57" s="4">
        <f t="shared" si="22"/>
        <v>10</v>
      </c>
      <c r="Q57" s="4">
        <f t="shared" si="22"/>
        <v>11</v>
      </c>
      <c r="R57" s="4">
        <f t="shared" si="22"/>
        <v>12</v>
      </c>
      <c r="S57" s="4">
        <f t="shared" si="22"/>
        <v>13</v>
      </c>
      <c r="T57" s="4">
        <f t="shared" si="22"/>
        <v>14</v>
      </c>
      <c r="U57" s="28"/>
    </row>
    <row r="58" spans="2:21" ht="15" customHeight="1" x14ac:dyDescent="0.2">
      <c r="C58" t="s">
        <v>70</v>
      </c>
      <c r="D58" s="28"/>
      <c r="E58" s="140"/>
      <c r="F58" s="28"/>
      <c r="G58" s="82">
        <f t="shared" ref="G58:T58" si="23">IF(G$30&lt;=$J$14,1,0)</f>
        <v>1</v>
      </c>
      <c r="H58" s="82">
        <f t="shared" si="23"/>
        <v>1</v>
      </c>
      <c r="I58" s="82">
        <f t="shared" si="23"/>
        <v>1</v>
      </c>
      <c r="J58" s="82">
        <f t="shared" si="23"/>
        <v>1</v>
      </c>
      <c r="K58" s="82">
        <f t="shared" si="23"/>
        <v>1</v>
      </c>
      <c r="L58" s="82">
        <f t="shared" si="23"/>
        <v>1</v>
      </c>
      <c r="M58" s="82">
        <f t="shared" si="23"/>
        <v>1</v>
      </c>
      <c r="N58" s="82">
        <f t="shared" si="23"/>
        <v>1</v>
      </c>
      <c r="O58" s="82">
        <f t="shared" si="23"/>
        <v>1</v>
      </c>
      <c r="P58" s="82">
        <f t="shared" si="23"/>
        <v>1</v>
      </c>
      <c r="Q58" s="82">
        <f t="shared" si="23"/>
        <v>0</v>
      </c>
      <c r="R58" s="82">
        <f t="shared" si="23"/>
        <v>0</v>
      </c>
      <c r="S58" s="82">
        <f t="shared" si="23"/>
        <v>0</v>
      </c>
      <c r="T58" s="122">
        <f t="shared" si="23"/>
        <v>0</v>
      </c>
      <c r="U58" s="123"/>
    </row>
    <row r="59" spans="2:21" ht="10" customHeight="1" x14ac:dyDescent="0.2">
      <c r="E59" s="132"/>
    </row>
    <row r="60" spans="2:21" x14ac:dyDescent="0.2">
      <c r="C60" s="57" t="s">
        <v>56</v>
      </c>
      <c r="E60" s="132"/>
    </row>
    <row r="61" spans="2:21" x14ac:dyDescent="0.2">
      <c r="C61" s="52" t="s">
        <v>20</v>
      </c>
      <c r="E61" s="130">
        <f>SUM(F61:T61)</f>
        <v>185004412.90402648</v>
      </c>
      <c r="F61" s="14"/>
      <c r="G61" s="73">
        <f t="shared" ref="G61:T61" si="24">G39</f>
        <v>19000000</v>
      </c>
      <c r="H61" s="73">
        <f t="shared" si="24"/>
        <v>18887500</v>
      </c>
      <c r="I61" s="73">
        <f t="shared" si="24"/>
        <v>18775562.5</v>
      </c>
      <c r="J61" s="73">
        <f t="shared" si="24"/>
        <v>18664184.6875</v>
      </c>
      <c r="K61" s="73">
        <f t="shared" si="24"/>
        <v>18553363.764062501</v>
      </c>
      <c r="L61" s="73">
        <f t="shared" si="24"/>
        <v>18443096.945242185</v>
      </c>
      <c r="M61" s="73">
        <f t="shared" si="24"/>
        <v>18333381.460515976</v>
      </c>
      <c r="N61" s="73">
        <f t="shared" si="24"/>
        <v>18224214.553213395</v>
      </c>
      <c r="O61" s="73">
        <f t="shared" si="24"/>
        <v>18115593.48044733</v>
      </c>
      <c r="P61" s="73">
        <f t="shared" si="24"/>
        <v>18007515.513045095</v>
      </c>
      <c r="Q61" s="119">
        <f t="shared" si="24"/>
        <v>0</v>
      </c>
      <c r="R61" s="119">
        <f t="shared" si="24"/>
        <v>0</v>
      </c>
      <c r="S61" s="119">
        <f t="shared" si="24"/>
        <v>0</v>
      </c>
      <c r="T61" s="119">
        <f t="shared" si="24"/>
        <v>0</v>
      </c>
      <c r="U61" s="126"/>
    </row>
    <row r="62" spans="2:21" x14ac:dyDescent="0.2">
      <c r="C62" s="52" t="s">
        <v>30</v>
      </c>
      <c r="E62" s="136">
        <f>SUM(F62:T62)</f>
        <v>115627758.06501655</v>
      </c>
      <c r="F62" s="14"/>
      <c r="G62" s="73">
        <f t="shared" ref="G62:T62" si="25">G61/$J$13*G$58</f>
        <v>11875000</v>
      </c>
      <c r="H62" s="73">
        <f t="shared" si="25"/>
        <v>11804687.5</v>
      </c>
      <c r="I62" s="73">
        <f t="shared" si="25"/>
        <v>11734726.5625</v>
      </c>
      <c r="J62" s="73">
        <f t="shared" si="25"/>
        <v>11665115.4296875</v>
      </c>
      <c r="K62" s="73">
        <f t="shared" si="25"/>
        <v>11595852.352539062</v>
      </c>
      <c r="L62" s="73">
        <f t="shared" si="25"/>
        <v>11526935.590776365</v>
      </c>
      <c r="M62" s="73">
        <f t="shared" si="25"/>
        <v>11458363.412822485</v>
      </c>
      <c r="N62" s="73">
        <f t="shared" si="25"/>
        <v>11390134.095758371</v>
      </c>
      <c r="O62" s="73">
        <f t="shared" si="25"/>
        <v>11322245.92527958</v>
      </c>
      <c r="P62" s="73">
        <f t="shared" si="25"/>
        <v>11254697.195653183</v>
      </c>
      <c r="Q62" s="119">
        <f t="shared" si="25"/>
        <v>0</v>
      </c>
      <c r="R62" s="119">
        <f t="shared" si="25"/>
        <v>0</v>
      </c>
      <c r="S62" s="119">
        <f t="shared" si="25"/>
        <v>0</v>
      </c>
      <c r="T62" s="119">
        <f t="shared" si="25"/>
        <v>0</v>
      </c>
      <c r="U62" s="126"/>
    </row>
    <row r="63" spans="2:21" x14ac:dyDescent="0.2">
      <c r="C63" s="2" t="s">
        <v>50</v>
      </c>
      <c r="D63" s="2"/>
      <c r="E63" s="132"/>
      <c r="F63" s="135">
        <f>NPV($J$12,G62:U62)</f>
        <v>89498135.750693321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4"/>
    </row>
    <row r="64" spans="2:21" ht="10" customHeight="1" x14ac:dyDescent="0.2">
      <c r="E64" s="132"/>
    </row>
    <row r="65" spans="3:21" x14ac:dyDescent="0.2">
      <c r="C65" s="22" t="s">
        <v>33</v>
      </c>
      <c r="D65" s="22"/>
      <c r="E65" s="136">
        <f>SUM(F65:T65)</f>
        <v>522592446.28646344</v>
      </c>
      <c r="F65" s="23"/>
      <c r="G65" s="74">
        <f>F68*G$58</f>
        <v>89498135.750693321</v>
      </c>
      <c r="H65" s="74">
        <f t="shared" ref="H65:T65" si="26">G68*H$58</f>
        <v>82098042.53822799</v>
      </c>
      <c r="I65" s="74">
        <f t="shared" si="26"/>
        <v>74398257.165139392</v>
      </c>
      <c r="J65" s="74">
        <f t="shared" si="26"/>
        <v>66383443.460896358</v>
      </c>
      <c r="K65" s="74">
        <f t="shared" si="26"/>
        <v>58037500.204253674</v>
      </c>
      <c r="L65" s="74">
        <f t="shared" si="26"/>
        <v>49343522.861927293</v>
      </c>
      <c r="M65" s="74">
        <f t="shared" si="26"/>
        <v>40283763.414247289</v>
      </c>
      <c r="N65" s="74">
        <f t="shared" si="26"/>
        <v>30839588.172137171</v>
      </c>
      <c r="O65" s="74">
        <f t="shared" si="26"/>
        <v>20991433.484985657</v>
      </c>
      <c r="P65" s="74">
        <f t="shared" si="26"/>
        <v>10718759.233955359</v>
      </c>
      <c r="Q65" s="74">
        <f t="shared" si="26"/>
        <v>0</v>
      </c>
      <c r="R65" s="74">
        <f t="shared" si="26"/>
        <v>0</v>
      </c>
      <c r="S65" s="74">
        <f t="shared" si="26"/>
        <v>0</v>
      </c>
      <c r="T65" s="74">
        <f t="shared" si="26"/>
        <v>0</v>
      </c>
      <c r="U65" s="14"/>
    </row>
    <row r="66" spans="3:21" s="8" customFormat="1" x14ac:dyDescent="0.2">
      <c r="C66" s="83" t="s">
        <v>34</v>
      </c>
      <c r="D66" s="84"/>
      <c r="E66" s="137">
        <f t="shared" ref="E66:E68" si="27">SUM(F66:T66)</f>
        <v>-26129622.314323176</v>
      </c>
      <c r="F66" s="85"/>
      <c r="G66" s="86">
        <f t="shared" ref="G66:T66" si="28">-G65*$J$12*G$58</f>
        <v>-4474906.7875346662</v>
      </c>
      <c r="H66" s="86">
        <f t="shared" si="28"/>
        <v>-4104902.1269113999</v>
      </c>
      <c r="I66" s="86">
        <f t="shared" si="28"/>
        <v>-3719912.8582569696</v>
      </c>
      <c r="J66" s="86">
        <f t="shared" si="28"/>
        <v>-3319172.173044818</v>
      </c>
      <c r="K66" s="86">
        <f t="shared" si="28"/>
        <v>-2901875.0102126841</v>
      </c>
      <c r="L66" s="86">
        <f t="shared" si="28"/>
        <v>-2467176.1430963646</v>
      </c>
      <c r="M66" s="86">
        <f t="shared" si="28"/>
        <v>-2014188.1707123646</v>
      </c>
      <c r="N66" s="86">
        <f t="shared" si="28"/>
        <v>-1541979.4086068587</v>
      </c>
      <c r="O66" s="86">
        <f t="shared" si="28"/>
        <v>-1049571.6742492828</v>
      </c>
      <c r="P66" s="86">
        <f t="shared" si="28"/>
        <v>-535937.96169776795</v>
      </c>
      <c r="Q66" s="71">
        <f t="shared" si="28"/>
        <v>0</v>
      </c>
      <c r="R66" s="71">
        <f t="shared" si="28"/>
        <v>0</v>
      </c>
      <c r="S66" s="71">
        <f t="shared" si="28"/>
        <v>0</v>
      </c>
      <c r="T66" s="71">
        <f t="shared" si="28"/>
        <v>0</v>
      </c>
      <c r="U66" s="121"/>
    </row>
    <row r="67" spans="3:21" s="8" customFormat="1" x14ac:dyDescent="0.2">
      <c r="C67" s="83" t="s">
        <v>42</v>
      </c>
      <c r="E67" s="130">
        <f t="shared" si="27"/>
        <v>-89498135.750693366</v>
      </c>
      <c r="F67" s="87"/>
      <c r="G67" s="73">
        <f t="shared" ref="G67:T67" si="29">-(G62+G66)</f>
        <v>-7400093.2124653338</v>
      </c>
      <c r="H67" s="73">
        <f t="shared" si="29"/>
        <v>-7699785.3730886001</v>
      </c>
      <c r="I67" s="73">
        <f t="shared" si="29"/>
        <v>-8014813.7042430304</v>
      </c>
      <c r="J67" s="73">
        <f t="shared" si="29"/>
        <v>-8345943.2566426825</v>
      </c>
      <c r="K67" s="73">
        <f t="shared" si="29"/>
        <v>-8693977.3423263784</v>
      </c>
      <c r="L67" s="73">
        <f t="shared" si="29"/>
        <v>-9059759.4476800002</v>
      </c>
      <c r="M67" s="73">
        <f t="shared" si="29"/>
        <v>-9444175.2421101201</v>
      </c>
      <c r="N67" s="73">
        <f t="shared" si="29"/>
        <v>-9848154.6871515121</v>
      </c>
      <c r="O67" s="73">
        <f t="shared" si="29"/>
        <v>-10272674.251030298</v>
      </c>
      <c r="P67" s="73">
        <f t="shared" si="29"/>
        <v>-10718759.233955415</v>
      </c>
      <c r="Q67" s="73">
        <f t="shared" si="29"/>
        <v>0</v>
      </c>
      <c r="R67" s="73">
        <f t="shared" si="29"/>
        <v>0</v>
      </c>
      <c r="S67" s="73">
        <f t="shared" si="29"/>
        <v>0</v>
      </c>
      <c r="T67" s="73">
        <f t="shared" si="29"/>
        <v>0</v>
      </c>
      <c r="U67" s="14"/>
    </row>
    <row r="68" spans="3:21" x14ac:dyDescent="0.2">
      <c r="C68" s="2" t="s">
        <v>35</v>
      </c>
      <c r="D68" s="2"/>
      <c r="E68" s="128">
        <f t="shared" si="27"/>
        <v>522592446.28646338</v>
      </c>
      <c r="F68" s="127">
        <f>$F$63</f>
        <v>89498135.750693321</v>
      </c>
      <c r="G68" s="88">
        <f>SUM(G65,G67)*G$58</f>
        <v>82098042.53822799</v>
      </c>
      <c r="H68" s="88">
        <f t="shared" ref="H68:T68" si="30">SUM(H65,H67)*H$58</f>
        <v>74398257.165139392</v>
      </c>
      <c r="I68" s="88">
        <f t="shared" si="30"/>
        <v>66383443.460896358</v>
      </c>
      <c r="J68" s="88">
        <f t="shared" si="30"/>
        <v>58037500.204253674</v>
      </c>
      <c r="K68" s="88">
        <f t="shared" si="30"/>
        <v>49343522.861927293</v>
      </c>
      <c r="L68" s="88">
        <f t="shared" si="30"/>
        <v>40283763.414247289</v>
      </c>
      <c r="M68" s="88">
        <f t="shared" si="30"/>
        <v>30839588.172137171</v>
      </c>
      <c r="N68" s="88">
        <f t="shared" si="30"/>
        <v>20991433.484985657</v>
      </c>
      <c r="O68" s="88">
        <f t="shared" si="30"/>
        <v>10718759.233955359</v>
      </c>
      <c r="P68" s="88">
        <f t="shared" si="30"/>
        <v>-5.5879354476928711E-8</v>
      </c>
      <c r="Q68" s="88">
        <f t="shared" si="30"/>
        <v>0</v>
      </c>
      <c r="R68" s="88">
        <f t="shared" si="30"/>
        <v>0</v>
      </c>
      <c r="S68" s="88">
        <f t="shared" si="30"/>
        <v>0</v>
      </c>
      <c r="T68" s="88">
        <f t="shared" si="30"/>
        <v>0</v>
      </c>
      <c r="U68" s="114"/>
    </row>
    <row r="69" spans="3:21" s="8" customFormat="1" x14ac:dyDescent="0.2">
      <c r="C69" s="8" t="s">
        <v>78</v>
      </c>
      <c r="E69" s="129"/>
      <c r="F69" s="115"/>
      <c r="G69" s="116">
        <f>IFERROR(-G61/SUM(G66:G67),"-")</f>
        <v>1.6</v>
      </c>
      <c r="H69" s="116">
        <f t="shared" ref="H69:T69" si="31">IFERROR(-H61/SUM(H66:H67),"-")</f>
        <v>1.6</v>
      </c>
      <c r="I69" s="116">
        <f t="shared" si="31"/>
        <v>1.6</v>
      </c>
      <c r="J69" s="116">
        <f t="shared" si="31"/>
        <v>1.6</v>
      </c>
      <c r="K69" s="116">
        <f t="shared" si="31"/>
        <v>1.6</v>
      </c>
      <c r="L69" s="116">
        <f t="shared" si="31"/>
        <v>1.6</v>
      </c>
      <c r="M69" s="116">
        <f t="shared" si="31"/>
        <v>1.6</v>
      </c>
      <c r="N69" s="116">
        <f t="shared" si="31"/>
        <v>1.6</v>
      </c>
      <c r="O69" s="116">
        <f t="shared" si="31"/>
        <v>1.6</v>
      </c>
      <c r="P69" s="116">
        <f t="shared" si="31"/>
        <v>1.6</v>
      </c>
      <c r="Q69" s="118" t="str">
        <f t="shared" si="31"/>
        <v>-</v>
      </c>
      <c r="R69" s="118" t="str">
        <f t="shared" si="31"/>
        <v>-</v>
      </c>
      <c r="S69" s="118" t="str">
        <f t="shared" si="31"/>
        <v>-</v>
      </c>
      <c r="T69" s="118" t="str">
        <f t="shared" si="31"/>
        <v>-</v>
      </c>
      <c r="U69" s="118"/>
    </row>
    <row r="70" spans="3:21" ht="10" customHeight="1" x14ac:dyDescent="0.2">
      <c r="E70" s="132"/>
    </row>
    <row r="71" spans="3:21" x14ac:dyDescent="0.2">
      <c r="C71" s="57" t="s">
        <v>54</v>
      </c>
      <c r="E71" s="132"/>
    </row>
    <row r="72" spans="3:21" x14ac:dyDescent="0.2">
      <c r="C72" s="52" t="s">
        <v>39</v>
      </c>
      <c r="D72" s="14"/>
      <c r="E72" s="130">
        <f>SUM(F72:T72)</f>
        <v>-150000000</v>
      </c>
      <c r="F72" s="73">
        <f t="shared" ref="F72:T72" si="32">F47</f>
        <v>-150000000</v>
      </c>
      <c r="G72" s="73">
        <f t="shared" si="32"/>
        <v>0</v>
      </c>
      <c r="H72" s="73">
        <f t="shared" si="32"/>
        <v>0</v>
      </c>
      <c r="I72" s="73">
        <f t="shared" si="32"/>
        <v>0</v>
      </c>
      <c r="J72" s="73">
        <f t="shared" si="32"/>
        <v>0</v>
      </c>
      <c r="K72" s="73">
        <f t="shared" si="32"/>
        <v>0</v>
      </c>
      <c r="L72" s="73">
        <f t="shared" si="32"/>
        <v>0</v>
      </c>
      <c r="M72" s="73">
        <f t="shared" si="32"/>
        <v>0</v>
      </c>
      <c r="N72" s="73">
        <f t="shared" si="32"/>
        <v>0</v>
      </c>
      <c r="O72" s="73">
        <f t="shared" si="32"/>
        <v>0</v>
      </c>
      <c r="P72" s="73">
        <f t="shared" si="32"/>
        <v>0</v>
      </c>
      <c r="Q72" s="73">
        <f t="shared" si="32"/>
        <v>0</v>
      </c>
      <c r="R72" s="73">
        <f t="shared" si="32"/>
        <v>0</v>
      </c>
      <c r="S72" s="73">
        <f t="shared" si="32"/>
        <v>0</v>
      </c>
      <c r="T72" s="73">
        <f t="shared" si="32"/>
        <v>0</v>
      </c>
      <c r="U72" s="14"/>
    </row>
    <row r="73" spans="3:21" x14ac:dyDescent="0.2">
      <c r="C73" s="52" t="s">
        <v>13</v>
      </c>
      <c r="D73" s="14"/>
      <c r="E73" s="130">
        <f>SUM(F73:T73)</f>
        <v>45000000</v>
      </c>
      <c r="F73" s="73">
        <f t="shared" ref="F73:T73" si="33">F48</f>
        <v>45000000</v>
      </c>
      <c r="G73" s="73">
        <f t="shared" si="33"/>
        <v>0</v>
      </c>
      <c r="H73" s="73">
        <f t="shared" si="33"/>
        <v>0</v>
      </c>
      <c r="I73" s="73">
        <f t="shared" si="33"/>
        <v>0</v>
      </c>
      <c r="J73" s="73">
        <f t="shared" si="33"/>
        <v>0</v>
      </c>
      <c r="K73" s="73">
        <f t="shared" si="33"/>
        <v>0</v>
      </c>
      <c r="L73" s="73">
        <f t="shared" si="33"/>
        <v>0</v>
      </c>
      <c r="M73" s="73">
        <f t="shared" si="33"/>
        <v>0</v>
      </c>
      <c r="N73" s="73">
        <f t="shared" si="33"/>
        <v>0</v>
      </c>
      <c r="O73" s="73">
        <f t="shared" si="33"/>
        <v>0</v>
      </c>
      <c r="P73" s="73">
        <f t="shared" si="33"/>
        <v>0</v>
      </c>
      <c r="Q73" s="73">
        <f t="shared" si="33"/>
        <v>0</v>
      </c>
      <c r="R73" s="73">
        <f t="shared" si="33"/>
        <v>0</v>
      </c>
      <c r="S73" s="73">
        <f t="shared" si="33"/>
        <v>0</v>
      </c>
      <c r="T73" s="73">
        <f t="shared" si="33"/>
        <v>0</v>
      </c>
      <c r="U73" s="14"/>
    </row>
    <row r="74" spans="3:21" x14ac:dyDescent="0.2">
      <c r="C74" s="52" t="s">
        <v>55</v>
      </c>
      <c r="D74" s="14"/>
      <c r="E74" s="130">
        <f>SUM(F74:T74)</f>
        <v>89498135.750693321</v>
      </c>
      <c r="F74" s="127">
        <f>F63</f>
        <v>89498135.750693321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  <c r="U74" s="14"/>
    </row>
    <row r="75" spans="3:21" x14ac:dyDescent="0.2">
      <c r="C75" s="52" t="s">
        <v>20</v>
      </c>
      <c r="D75" s="14"/>
      <c r="E75" s="130">
        <f t="shared" ref="E75:E79" si="34">SUM(F75:T75)</f>
        <v>185004412.90402648</v>
      </c>
      <c r="F75" s="14"/>
      <c r="G75" s="73">
        <f t="shared" ref="G75:T75" si="35">G61</f>
        <v>19000000</v>
      </c>
      <c r="H75" s="73">
        <f t="shared" si="35"/>
        <v>18887500</v>
      </c>
      <c r="I75" s="73">
        <f t="shared" si="35"/>
        <v>18775562.5</v>
      </c>
      <c r="J75" s="73">
        <f t="shared" si="35"/>
        <v>18664184.6875</v>
      </c>
      <c r="K75" s="73">
        <f t="shared" si="35"/>
        <v>18553363.764062501</v>
      </c>
      <c r="L75" s="73">
        <f t="shared" si="35"/>
        <v>18443096.945242185</v>
      </c>
      <c r="M75" s="73">
        <f t="shared" si="35"/>
        <v>18333381.460515976</v>
      </c>
      <c r="N75" s="73">
        <f t="shared" si="35"/>
        <v>18224214.553213395</v>
      </c>
      <c r="O75" s="73">
        <f t="shared" si="35"/>
        <v>18115593.48044733</v>
      </c>
      <c r="P75" s="73">
        <f t="shared" si="35"/>
        <v>18007515.513045095</v>
      </c>
      <c r="Q75" s="73">
        <f t="shared" si="35"/>
        <v>0</v>
      </c>
      <c r="R75" s="73">
        <f t="shared" si="35"/>
        <v>0</v>
      </c>
      <c r="S75" s="73">
        <f t="shared" si="35"/>
        <v>0</v>
      </c>
      <c r="T75" s="73">
        <f t="shared" si="35"/>
        <v>0</v>
      </c>
      <c r="U75" s="14"/>
    </row>
    <row r="76" spans="3:21" x14ac:dyDescent="0.2">
      <c r="C76" s="52" t="s">
        <v>31</v>
      </c>
      <c r="D76" s="14"/>
      <c r="E76" s="130">
        <f t="shared" si="34"/>
        <v>-115627758.06501655</v>
      </c>
      <c r="F76" s="14"/>
      <c r="G76" s="73">
        <f>SUM(G66:G67)</f>
        <v>-11875000</v>
      </c>
      <c r="H76" s="73">
        <f t="shared" ref="H76:T76" si="36">SUM(H66:H67)</f>
        <v>-11804687.5</v>
      </c>
      <c r="I76" s="73">
        <f t="shared" si="36"/>
        <v>-11734726.5625</v>
      </c>
      <c r="J76" s="73">
        <f t="shared" si="36"/>
        <v>-11665115.4296875</v>
      </c>
      <c r="K76" s="73">
        <f t="shared" si="36"/>
        <v>-11595852.352539062</v>
      </c>
      <c r="L76" s="73">
        <f t="shared" si="36"/>
        <v>-11526935.590776365</v>
      </c>
      <c r="M76" s="73">
        <f t="shared" si="36"/>
        <v>-11458363.412822485</v>
      </c>
      <c r="N76" s="73">
        <f t="shared" si="36"/>
        <v>-11390134.095758371</v>
      </c>
      <c r="O76" s="73">
        <f t="shared" si="36"/>
        <v>-11322245.92527958</v>
      </c>
      <c r="P76" s="73">
        <f t="shared" si="36"/>
        <v>-11254697.195653183</v>
      </c>
      <c r="Q76" s="73">
        <f t="shared" si="36"/>
        <v>0</v>
      </c>
      <c r="R76" s="73">
        <f t="shared" si="36"/>
        <v>0</v>
      </c>
      <c r="S76" s="73">
        <f t="shared" si="36"/>
        <v>0</v>
      </c>
      <c r="T76" s="73">
        <f t="shared" si="36"/>
        <v>0</v>
      </c>
      <c r="U76" s="14"/>
    </row>
    <row r="77" spans="3:21" x14ac:dyDescent="0.2">
      <c r="C77" s="52" t="s">
        <v>24</v>
      </c>
      <c r="E77" s="130">
        <f t="shared" si="34"/>
        <v>-12075926.70984556</v>
      </c>
      <c r="F77" s="14"/>
      <c r="G77" s="73">
        <f t="shared" ref="G77:T77" si="37">G50</f>
        <v>1365000</v>
      </c>
      <c r="H77" s="73">
        <f t="shared" si="37"/>
        <v>4601625.0000000009</v>
      </c>
      <c r="I77" s="73">
        <f t="shared" si="37"/>
        <v>1197931.875</v>
      </c>
      <c r="J77" s="73">
        <f t="shared" si="37"/>
        <v>-834998.78437499993</v>
      </c>
      <c r="K77" s="73">
        <f t="shared" si="37"/>
        <v>-811726.3904531257</v>
      </c>
      <c r="L77" s="73">
        <f t="shared" si="37"/>
        <v>-2330810.3585008588</v>
      </c>
      <c r="M77" s="73">
        <f t="shared" si="37"/>
        <v>-3850010.1067083548</v>
      </c>
      <c r="N77" s="73">
        <f t="shared" si="37"/>
        <v>-3827085.0561748128</v>
      </c>
      <c r="O77" s="73">
        <f t="shared" si="37"/>
        <v>-3804274.6308939392</v>
      </c>
      <c r="P77" s="73">
        <f t="shared" si="37"/>
        <v>-3781578.2577394699</v>
      </c>
      <c r="Q77" s="73">
        <f t="shared" si="37"/>
        <v>0</v>
      </c>
      <c r="R77" s="73">
        <f t="shared" si="37"/>
        <v>0</v>
      </c>
      <c r="S77" s="73">
        <f t="shared" si="37"/>
        <v>0</v>
      </c>
      <c r="T77" s="73">
        <f t="shared" si="37"/>
        <v>0</v>
      </c>
      <c r="U77" s="14"/>
    </row>
    <row r="78" spans="3:21" x14ac:dyDescent="0.2">
      <c r="C78" s="52" t="s">
        <v>38</v>
      </c>
      <c r="E78" s="130">
        <f t="shared" si="34"/>
        <v>5487220.6860078676</v>
      </c>
      <c r="F78" s="14"/>
      <c r="G78" s="73">
        <f t="shared" ref="G78:T78" si="38">-$I$8*G66*G$31</f>
        <v>939730.42538227991</v>
      </c>
      <c r="H78" s="73">
        <f t="shared" si="38"/>
        <v>862029.4466513939</v>
      </c>
      <c r="I78" s="73">
        <f t="shared" si="38"/>
        <v>781181.70023396355</v>
      </c>
      <c r="J78" s="73">
        <f t="shared" si="38"/>
        <v>697026.15633941174</v>
      </c>
      <c r="K78" s="73">
        <f t="shared" si="38"/>
        <v>609393.75214466359</v>
      </c>
      <c r="L78" s="73">
        <f t="shared" si="38"/>
        <v>518106.99005023652</v>
      </c>
      <c r="M78" s="73">
        <f t="shared" si="38"/>
        <v>422979.51584959653</v>
      </c>
      <c r="N78" s="73">
        <f t="shared" si="38"/>
        <v>323815.6758074403</v>
      </c>
      <c r="O78" s="73">
        <f t="shared" si="38"/>
        <v>220410.05159234939</v>
      </c>
      <c r="P78" s="73">
        <f t="shared" si="38"/>
        <v>112546.97195653127</v>
      </c>
      <c r="Q78" s="73">
        <f t="shared" si="38"/>
        <v>0</v>
      </c>
      <c r="R78" s="73">
        <f t="shared" si="38"/>
        <v>0</v>
      </c>
      <c r="S78" s="73">
        <f t="shared" si="38"/>
        <v>0</v>
      </c>
      <c r="T78" s="73">
        <f t="shared" si="38"/>
        <v>0</v>
      </c>
      <c r="U78" s="14"/>
    </row>
    <row r="79" spans="3:21" x14ac:dyDescent="0.2">
      <c r="C79" s="69" t="s">
        <v>49</v>
      </c>
      <c r="D79" s="75"/>
      <c r="E79" s="138">
        <f t="shared" si="34"/>
        <v>47286084.565865561</v>
      </c>
      <c r="F79" s="76">
        <f>SUM(F72:F78)</f>
        <v>-15501864.249306679</v>
      </c>
      <c r="G79" s="76">
        <f t="shared" ref="G79:T79" si="39">SUM(G72:G78)</f>
        <v>9429730.4253822807</v>
      </c>
      <c r="H79" s="76">
        <f t="shared" si="39"/>
        <v>12546466.946651394</v>
      </c>
      <c r="I79" s="76">
        <f t="shared" si="39"/>
        <v>9019949.5127339642</v>
      </c>
      <c r="J79" s="76">
        <f t="shared" si="39"/>
        <v>6861096.6297769118</v>
      </c>
      <c r="K79" s="76">
        <f t="shared" si="39"/>
        <v>6755178.7732149772</v>
      </c>
      <c r="L79" s="76">
        <f t="shared" si="39"/>
        <v>5103457.9860151978</v>
      </c>
      <c r="M79" s="76">
        <f t="shared" si="39"/>
        <v>3447987.4568347326</v>
      </c>
      <c r="N79" s="76">
        <f t="shared" si="39"/>
        <v>3330811.0770876515</v>
      </c>
      <c r="O79" s="76">
        <f t="shared" si="39"/>
        <v>3209482.9758661599</v>
      </c>
      <c r="P79" s="76">
        <f t="shared" si="39"/>
        <v>3083787.0316089727</v>
      </c>
      <c r="Q79" s="76">
        <f t="shared" si="39"/>
        <v>0</v>
      </c>
      <c r="R79" s="76">
        <f t="shared" si="39"/>
        <v>0</v>
      </c>
      <c r="S79" s="76">
        <f t="shared" si="39"/>
        <v>0</v>
      </c>
      <c r="T79" s="76">
        <f t="shared" si="39"/>
        <v>0</v>
      </c>
      <c r="U79" s="125"/>
    </row>
    <row r="80" spans="3:21" ht="10" customHeight="1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2:20" x14ac:dyDescent="0.2">
      <c r="C81" s="12" t="s">
        <v>40</v>
      </c>
      <c r="D81" s="66">
        <f>IRR(F79:T79)</f>
        <v>0.58929242575112917</v>
      </c>
      <c r="E81" s="14"/>
    </row>
    <row r="82" spans="2:20" x14ac:dyDescent="0.2">
      <c r="B82" s="16"/>
      <c r="C82" s="12" t="s">
        <v>29</v>
      </c>
      <c r="D82" s="67">
        <f>NPV($E$21,G79:T79)+F79</f>
        <v>30848215.523840919</v>
      </c>
      <c r="E82" s="14"/>
    </row>
    <row r="83" spans="2:20" x14ac:dyDescent="0.2"/>
    <row r="84" spans="2:20" s="25" customFormat="1" x14ac:dyDescent="0.2">
      <c r="B84" s="26" t="s">
        <v>58</v>
      </c>
      <c r="D84" s="27"/>
    </row>
    <row r="85" spans="2:20" x14ac:dyDescent="0.2">
      <c r="B85" s="4"/>
      <c r="C85" s="24" t="s">
        <v>67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 s="89" customFormat="1" ht="12" x14ac:dyDescent="0.15"/>
    <row r="87" spans="2:20" s="89" customFormat="1" ht="12" x14ac:dyDescent="0.15">
      <c r="C87" s="90" t="s">
        <v>60</v>
      </c>
    </row>
    <row r="88" spans="2:20" s="89" customFormat="1" ht="12" x14ac:dyDescent="0.15">
      <c r="C88" s="91" t="s">
        <v>61</v>
      </c>
      <c r="F88" s="92">
        <f t="shared" ref="F88:T88" si="40">G36/1000000</f>
        <v>22.5</v>
      </c>
      <c r="G88" s="92">
        <f t="shared" si="40"/>
        <v>22.387499999999999</v>
      </c>
      <c r="H88" s="92">
        <f t="shared" si="40"/>
        <v>22.275562499999999</v>
      </c>
      <c r="I88" s="92">
        <f t="shared" si="40"/>
        <v>22.164184687500001</v>
      </c>
      <c r="J88" s="92">
        <f t="shared" si="40"/>
        <v>22.053363764062503</v>
      </c>
      <c r="K88" s="92">
        <f t="shared" si="40"/>
        <v>21.943096945242186</v>
      </c>
      <c r="L88" s="92">
        <f t="shared" si="40"/>
        <v>21.833381460515977</v>
      </c>
      <c r="M88" s="92">
        <f t="shared" si="40"/>
        <v>21.724214553213397</v>
      </c>
      <c r="N88" s="92">
        <f t="shared" si="40"/>
        <v>21.61559348044733</v>
      </c>
      <c r="O88" s="92">
        <f t="shared" si="40"/>
        <v>21.507515513045096</v>
      </c>
      <c r="P88" s="92">
        <f t="shared" si="40"/>
        <v>0</v>
      </c>
      <c r="Q88" s="92">
        <f t="shared" si="40"/>
        <v>0</v>
      </c>
      <c r="R88" s="92">
        <f t="shared" si="40"/>
        <v>0</v>
      </c>
      <c r="S88" s="92">
        <f t="shared" si="40"/>
        <v>0</v>
      </c>
      <c r="T88" s="92">
        <f t="shared" si="40"/>
        <v>0</v>
      </c>
    </row>
    <row r="89" spans="2:20" s="89" customFormat="1" ht="12" x14ac:dyDescent="0.15">
      <c r="C89" s="91" t="s">
        <v>59</v>
      </c>
      <c r="F89" s="92">
        <f t="shared" ref="F89:T89" si="41">-SUM(G37:G38)/1000000</f>
        <v>3.5</v>
      </c>
      <c r="G89" s="92">
        <f t="shared" si="41"/>
        <v>3.5</v>
      </c>
      <c r="H89" s="92">
        <f t="shared" si="41"/>
        <v>3.5</v>
      </c>
      <c r="I89" s="92">
        <f t="shared" si="41"/>
        <v>3.5</v>
      </c>
      <c r="J89" s="92">
        <f t="shared" si="41"/>
        <v>3.5</v>
      </c>
      <c r="K89" s="92">
        <f t="shared" si="41"/>
        <v>3.5</v>
      </c>
      <c r="L89" s="92">
        <f t="shared" si="41"/>
        <v>3.5</v>
      </c>
      <c r="M89" s="92">
        <f t="shared" si="41"/>
        <v>3.5</v>
      </c>
      <c r="N89" s="92">
        <f t="shared" si="41"/>
        <v>3.5</v>
      </c>
      <c r="O89" s="92">
        <f t="shared" si="41"/>
        <v>3.5</v>
      </c>
      <c r="P89" s="92">
        <f t="shared" si="41"/>
        <v>0</v>
      </c>
      <c r="Q89" s="92">
        <f t="shared" si="41"/>
        <v>0</v>
      </c>
      <c r="R89" s="92">
        <f t="shared" si="41"/>
        <v>0</v>
      </c>
      <c r="S89" s="92">
        <f t="shared" si="41"/>
        <v>0</v>
      </c>
      <c r="T89" s="92">
        <f t="shared" si="41"/>
        <v>0</v>
      </c>
    </row>
    <row r="90" spans="2:20" s="89" customFormat="1" ht="12" x14ac:dyDescent="0.15">
      <c r="C90" s="91" t="s">
        <v>31</v>
      </c>
      <c r="F90" s="92">
        <f t="shared" ref="F90:T90" si="42">-G76/1000000</f>
        <v>11.875</v>
      </c>
      <c r="G90" s="92">
        <f t="shared" si="42"/>
        <v>11.8046875</v>
      </c>
      <c r="H90" s="92">
        <f t="shared" si="42"/>
        <v>11.734726562500001</v>
      </c>
      <c r="I90" s="92">
        <f t="shared" si="42"/>
        <v>11.6651154296875</v>
      </c>
      <c r="J90" s="92">
        <f t="shared" si="42"/>
        <v>11.595852352539062</v>
      </c>
      <c r="K90" s="92">
        <f t="shared" si="42"/>
        <v>11.526935590776365</v>
      </c>
      <c r="L90" s="92">
        <f t="shared" si="42"/>
        <v>11.458363412822486</v>
      </c>
      <c r="M90" s="92">
        <f t="shared" si="42"/>
        <v>11.390134095758372</v>
      </c>
      <c r="N90" s="92">
        <f t="shared" si="42"/>
        <v>11.32224592527958</v>
      </c>
      <c r="O90" s="92">
        <f t="shared" si="42"/>
        <v>11.254697195653183</v>
      </c>
      <c r="P90" s="92">
        <f t="shared" si="42"/>
        <v>0</v>
      </c>
      <c r="Q90" s="92">
        <f t="shared" si="42"/>
        <v>0</v>
      </c>
      <c r="R90" s="92">
        <f t="shared" si="42"/>
        <v>0</v>
      </c>
      <c r="S90" s="92">
        <f t="shared" si="42"/>
        <v>0</v>
      </c>
      <c r="T90" s="92">
        <f t="shared" si="42"/>
        <v>0</v>
      </c>
    </row>
    <row r="91" spans="2:20" s="89" customFormat="1" ht="12" x14ac:dyDescent="0.15">
      <c r="C91" s="91" t="s">
        <v>66</v>
      </c>
      <c r="F91" s="92">
        <f t="shared" ref="F91:T91" si="43">F88-F89-F90</f>
        <v>7.125</v>
      </c>
      <c r="G91" s="92">
        <f t="shared" si="43"/>
        <v>7.0828124999999993</v>
      </c>
      <c r="H91" s="92">
        <f t="shared" si="43"/>
        <v>7.0408359374999989</v>
      </c>
      <c r="I91" s="92">
        <f t="shared" si="43"/>
        <v>6.9990692578125007</v>
      </c>
      <c r="J91" s="92">
        <f t="shared" si="43"/>
        <v>6.9575114115234413</v>
      </c>
      <c r="K91" s="92">
        <f t="shared" si="43"/>
        <v>6.9161613544658209</v>
      </c>
      <c r="L91" s="92">
        <f t="shared" si="43"/>
        <v>6.8750180476934908</v>
      </c>
      <c r="M91" s="92">
        <f t="shared" si="43"/>
        <v>6.8340804574550251</v>
      </c>
      <c r="N91" s="92">
        <f t="shared" si="43"/>
        <v>6.7933475551677507</v>
      </c>
      <c r="O91" s="92">
        <f t="shared" si="43"/>
        <v>6.7528183173919132</v>
      </c>
      <c r="P91" s="92">
        <f t="shared" si="43"/>
        <v>0</v>
      </c>
      <c r="Q91" s="92">
        <f t="shared" si="43"/>
        <v>0</v>
      </c>
      <c r="R91" s="92">
        <f t="shared" si="43"/>
        <v>0</v>
      </c>
      <c r="S91" s="92">
        <f t="shared" si="43"/>
        <v>0</v>
      </c>
      <c r="T91" s="92">
        <f t="shared" si="43"/>
        <v>0</v>
      </c>
    </row>
    <row r="92" spans="2:20" s="89" customFormat="1" ht="12" x14ac:dyDescent="0.15"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2:20" s="89" customFormat="1" ht="12" x14ac:dyDescent="0.15">
      <c r="C93" s="90" t="s">
        <v>62</v>
      </c>
      <c r="D93" s="94"/>
    </row>
    <row r="94" spans="2:20" s="89" customFormat="1" ht="12" x14ac:dyDescent="0.15">
      <c r="C94" s="91" t="s">
        <v>65</v>
      </c>
      <c r="D94" s="95">
        <f>-F47/1000000-D95</f>
        <v>60.501864249306678</v>
      </c>
    </row>
    <row r="95" spans="2:20" s="89" customFormat="1" ht="12" x14ac:dyDescent="0.15">
      <c r="C95" s="91" t="s">
        <v>56</v>
      </c>
      <c r="D95" s="95">
        <f>+F74/1000000</f>
        <v>89.498135750693322</v>
      </c>
    </row>
    <row r="96" spans="2:20" s="89" customFormat="1" ht="12" x14ac:dyDescent="0.15">
      <c r="C96" s="96" t="s">
        <v>6</v>
      </c>
      <c r="D96" s="97">
        <f>SUM(D94:D95)</f>
        <v>150</v>
      </c>
    </row>
    <row r="97" spans="3:4" x14ac:dyDescent="0.2">
      <c r="C97" s="52"/>
      <c r="D97" s="60"/>
    </row>
    <row r="98" spans="3:4" x14ac:dyDescent="0.2"/>
  </sheetData>
  <conditionalFormatting sqref="G31:U31">
    <cfRule type="colorScale" priority="3">
      <colorScale>
        <cfvo type="min"/>
        <cfvo type="max"/>
        <color theme="0" tint="-4.9989318521683403E-2"/>
        <color theme="9" tint="0.59999389629810485"/>
      </colorScale>
    </cfRule>
  </conditionalFormatting>
  <conditionalFormatting sqref="G58:U58">
    <cfRule type="colorScale" priority="1">
      <colorScale>
        <cfvo type="min"/>
        <cfvo type="max"/>
        <color theme="0" tint="-4.9989318521683403E-2"/>
        <color theme="9" tint="0.59999389629810485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Solar DCF</vt:lpstr>
      <vt:lpstr>Unlevered Answer Key</vt:lpstr>
      <vt:lpstr>Full Answer 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Von Oesen</dc:creator>
  <cp:lastModifiedBy>Tony Ye</cp:lastModifiedBy>
  <dcterms:created xsi:type="dcterms:W3CDTF">2020-01-07T22:57:48Z</dcterms:created>
  <dcterms:modified xsi:type="dcterms:W3CDTF">2022-12-21T16:19:33Z</dcterms:modified>
</cp:coreProperties>
</file>